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6536" windowHeight="9432" activeTab="2"/>
  </bookViews>
  <sheets>
    <sheet name="summary" sheetId="1" r:id="rId1"/>
    <sheet name="Completed" sheetId="2" r:id="rId2"/>
    <sheet name="In progress" sheetId="3" r:id="rId3"/>
  </sheets>
  <definedNames>
    <definedName name="_xlnm.Print_Area" localSheetId="0">'summary'!$A$1:$R$89</definedName>
    <definedName name="_xlnm.Print_Titles" localSheetId="0">'summary'!$3:$5</definedName>
  </definedNames>
  <calcPr fullCalcOnLoad="1"/>
</workbook>
</file>

<file path=xl/comments2.xml><?xml version="1.0" encoding="utf-8"?>
<comments xmlns="http://schemas.openxmlformats.org/spreadsheetml/2006/main">
  <authors>
    <author>ATUL SAXENA</author>
    <author>Atul Saxena</author>
    <author>URRDA</author>
  </authors>
  <commentList>
    <comment ref="K130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K131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O133" authorId="1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 in PWD booklet 220.94.</t>
        </r>
      </text>
    </comment>
    <comment ref="J142" authorId="1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Previously shown 31.00 but now as per OMMAS length is 25.66.</t>
        </r>
      </text>
    </comment>
    <comment ref="K142" authorId="1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Previously shown 467.24 but as per OMMAS cost is Rs. 557.67.</t>
        </r>
      </text>
    </comment>
    <comment ref="D192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6.5 Km road has been constructed.</t>
        </r>
      </text>
    </comment>
    <comment ref="J192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6.5</t>
        </r>
      </text>
    </comment>
    <comment ref="S192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6.5</t>
        </r>
      </text>
    </comment>
    <comment ref="K197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J238" authorId="1">
      <text>
        <r>
          <rPr>
            <b/>
            <sz val="8"/>
            <rFont val="Tahoma"/>
            <family val="2"/>
          </rPr>
          <t>Atul Saxena:
Previosly entered as 15.59 but as per GO the length is 15.22.</t>
        </r>
      </text>
    </comment>
    <comment ref="J330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Actual is 8.70.</t>
        </r>
      </text>
    </comment>
    <comment ref="S330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Actual is 8.70.</t>
        </r>
      </text>
    </comment>
    <comment ref="K332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K344" authorId="1">
      <text>
        <r>
          <rPr>
            <b/>
            <sz val="8"/>
            <rFont val="Tahoma"/>
            <family val="2"/>
          </rPr>
          <t xml:space="preserve">Atul Saxena:
</t>
        </r>
        <r>
          <rPr>
            <sz val="8"/>
            <rFont val="Tahoma"/>
            <family val="2"/>
          </rPr>
          <t>Actual Cost is Rs. 351.60</t>
        </r>
      </text>
    </comment>
    <comment ref="I359" authorId="2">
      <text>
        <r>
          <rPr>
            <b/>
            <sz val="8"/>
            <rFont val="Tahoma"/>
            <family val="2"/>
          </rPr>
          <t>URRDA:</t>
        </r>
        <r>
          <rPr>
            <sz val="8"/>
            <rFont val="Tahoma"/>
            <family val="2"/>
          </rPr>
          <t xml:space="preserve">
Bhujiyaghat to Suriagaon under phase-VI &amp; 48 m. Span Bridge under Phase-VII there is one agreement</t>
        </r>
      </text>
    </comment>
    <comment ref="K388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K517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D536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Target habitation "Jaili-602" has already been connected by State PWD under district sector.</t>
        </r>
      </text>
    </comment>
    <comment ref="Q550" authorId="1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Constt.-1976.40
Maintt-382.43
Total - 2358.82</t>
        </r>
      </text>
    </comment>
    <comment ref="K557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K558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S566" authorId="1">
      <text>
        <r>
          <rPr>
            <b/>
            <sz val="8"/>
            <rFont val="Tahoma"/>
            <family val="2"/>
          </rPr>
          <t>Atul Saxena:
13.34 Km reported but Actually Completed 10.50 Km.</t>
        </r>
      </text>
    </comment>
    <comment ref="R568" authorId="1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C-41.21, MC-0.95 = 42.16</t>
        </r>
      </text>
    </comment>
    <comment ref="R585" authorId="1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According to PIU-100.51</t>
        </r>
      </text>
    </comment>
    <comment ref="K665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K667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Changed.</t>
        </r>
      </text>
    </comment>
    <comment ref="K668" authorId="1">
      <text>
        <r>
          <rPr>
            <b/>
            <sz val="11"/>
            <rFont val="Kruti Dev 100"/>
            <family val="0"/>
          </rPr>
          <t>vrqy lDlsuk%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Kruti Dev 010"/>
            <family val="0"/>
          </rPr>
          <t>ih0vkbZ0;w0 dh fjiksVZ esa :0 187-91 yk[k n'kkZ;k x;k gSA</t>
        </r>
      </text>
    </comment>
    <comment ref="K669" authorId="1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Kruti Dev 010"/>
            <family val="0"/>
          </rPr>
          <t>ih0vkbZ0;w0 dh fjiksVZ esa :0 176-00 yk[k n'kkZ;k x;k gSA</t>
        </r>
      </text>
    </comment>
    <comment ref="K677" authorId="1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Revised Cost - 83.86</t>
        </r>
      </text>
    </comment>
  </commentList>
</comments>
</file>

<file path=xl/sharedStrings.xml><?xml version="1.0" encoding="utf-8"?>
<sst xmlns="http://schemas.openxmlformats.org/spreadsheetml/2006/main" count="13217" uniqueCount="3169">
  <si>
    <t>Øa0 la0</t>
  </si>
  <si>
    <t>fo/kkulHkk dk uke</t>
  </si>
  <si>
    <t>Lohd`r dk;Z</t>
  </si>
  <si>
    <t>la0</t>
  </si>
  <si>
    <t>ya0</t>
  </si>
  <si>
    <t>ykxr</t>
  </si>
  <si>
    <t>izxfrjr dk;Z</t>
  </si>
  <si>
    <t>iw.kZ dk;Z</t>
  </si>
  <si>
    <t>vukjEHk dk;Z</t>
  </si>
  <si>
    <t>ouHkwfe esa yfEcr dk;Z</t>
  </si>
  <si>
    <t>Almora</t>
  </si>
  <si>
    <t>dqy</t>
  </si>
  <si>
    <t>Bageshwar</t>
  </si>
  <si>
    <t>tuin</t>
  </si>
  <si>
    <t>Chamoli</t>
  </si>
  <si>
    <t>Champawat</t>
  </si>
  <si>
    <t>Dehradun</t>
  </si>
  <si>
    <t>Haridwar</t>
  </si>
  <si>
    <t>Nainital</t>
  </si>
  <si>
    <t>Pauri</t>
  </si>
  <si>
    <t>Pithoragarh</t>
  </si>
  <si>
    <t>Rudraprayag</t>
  </si>
  <si>
    <t>Tehri</t>
  </si>
  <si>
    <t>U.S Nagar</t>
  </si>
  <si>
    <t>Uttarkashi</t>
  </si>
  <si>
    <t>vYeksM+k</t>
  </si>
  <si>
    <t>tkxs'oj</t>
  </si>
  <si>
    <t>jkuh[ksr</t>
  </si>
  <si>
    <t>lkses'oj</t>
  </si>
  <si>
    <t>lYV</t>
  </si>
  <si>
    <t>ckxs'oj</t>
  </si>
  <si>
    <t>didksV</t>
  </si>
  <si>
    <t>cnzhukFk</t>
  </si>
  <si>
    <t>d.kZiz;kx</t>
  </si>
  <si>
    <t>pEikor</t>
  </si>
  <si>
    <t>yksgk?kkV</t>
  </si>
  <si>
    <t>pdjkrk</t>
  </si>
  <si>
    <t>MkbZokyk</t>
  </si>
  <si>
    <t>elwjh</t>
  </si>
  <si>
    <t>jk;iqj</t>
  </si>
  <si>
    <t>lgliqj</t>
  </si>
  <si>
    <t>fodkluxj</t>
  </si>
  <si>
    <t>Hkxokuiqj</t>
  </si>
  <si>
    <t>Tokykiqj</t>
  </si>
  <si>
    <t>[kkuiqj</t>
  </si>
  <si>
    <t>yDlj</t>
  </si>
  <si>
    <t>eaxykSj</t>
  </si>
  <si>
    <t>:M+dh</t>
  </si>
  <si>
    <t>Hkherky</t>
  </si>
  <si>
    <t>uSuhrky</t>
  </si>
  <si>
    <t>jkeuxj</t>
  </si>
  <si>
    <t>dksV}kj</t>
  </si>
  <si>
    <t>ySalMkmu</t>
  </si>
  <si>
    <t>ikSM+h</t>
  </si>
  <si>
    <t>Jhuxj</t>
  </si>
  <si>
    <t>;eds'oj</t>
  </si>
  <si>
    <t>MhMhgkV</t>
  </si>
  <si>
    <t>xaxksyhgkV</t>
  </si>
  <si>
    <t>:nziz;kx</t>
  </si>
  <si>
    <t>nsoiz;kx</t>
  </si>
  <si>
    <t>/kuksYVh</t>
  </si>
  <si>
    <t>/kulkyh</t>
  </si>
  <si>
    <t>ujsUnzuxj</t>
  </si>
  <si>
    <t>izrkiuxj</t>
  </si>
  <si>
    <t>fVgjh</t>
  </si>
  <si>
    <t>cktiqj</t>
  </si>
  <si>
    <t>tliqj</t>
  </si>
  <si>
    <t>dk'khiqj</t>
  </si>
  <si>
    <t>[kVhek</t>
  </si>
  <si>
    <t>ukudeRrk</t>
  </si>
  <si>
    <t>flrkjxat</t>
  </si>
  <si>
    <t>xaxks=h</t>
  </si>
  <si>
    <t>iqjksyk</t>
  </si>
  <si>
    <t>dsnkjukFk</t>
  </si>
  <si>
    <t>Fkjkyh</t>
  </si>
  <si>
    <t>ch0,p0bZ0,y0 jkuhiqj</t>
  </si>
  <si>
    <t>gfj}kj xzkeh.k</t>
  </si>
  <si>
    <t>dkyk&lt;waxh</t>
  </si>
  <si>
    <t>_f"kds'k</t>
  </si>
  <si>
    <t>tuin&amp;vYeksM+k</t>
  </si>
  <si>
    <t>tuin&amp;mRrjdk'kh</t>
  </si>
  <si>
    <t>tuin&amp;Å/keflag uxj</t>
  </si>
  <si>
    <t>tuin&amp;fVgjh</t>
  </si>
  <si>
    <t>tuin&amp;:nziz;kx</t>
  </si>
  <si>
    <t>tuin&amp;ikSM+h</t>
  </si>
  <si>
    <t>tuin&amp;uSuhrky</t>
  </si>
  <si>
    <t>tuin&amp;gfj}kj</t>
  </si>
  <si>
    <t>tuin&amp;nsgjknwu</t>
  </si>
  <si>
    <t>tuin&amp;ckxs'oj</t>
  </si>
  <si>
    <t>tuin&amp;peksyh</t>
  </si>
  <si>
    <t>tuin&amp;pEikor</t>
  </si>
  <si>
    <t>/kjeiqj</t>
  </si>
  <si>
    <t>jktiqj jksM+</t>
  </si>
  <si>
    <t>nsgjknwu dSaV</t>
  </si>
  <si>
    <t xml:space="preserve">fijku dfy;j </t>
  </si>
  <si>
    <t>xnjiqj</t>
  </si>
  <si>
    <t>fdPNk</t>
  </si>
  <si>
    <t>:nziqj</t>
  </si>
  <si>
    <t>&gt;cjsM+k</t>
  </si>
  <si>
    <t>pkScV~Vk[kky</t>
  </si>
  <si>
    <t>fiFkkSjkx&lt;+</t>
  </si>
  <si>
    <t>tuin&amp;fiFkkSjkx&lt;+</t>
  </si>
  <si>
    <t>;ksx</t>
  </si>
  <si>
    <t>30.09.15</t>
  </si>
  <si>
    <t>iz/kkuea=h xzke lM+d ;kstuk ds vUrxZr dk;ksZa dk fo/kkulHkkokj izxfr fooj.k</t>
  </si>
  <si>
    <t>}kjkgkV</t>
  </si>
  <si>
    <t xml:space="preserve">gfj}kj </t>
  </si>
  <si>
    <t>gY}kuh</t>
  </si>
  <si>
    <t>ykydq¡vk</t>
  </si>
  <si>
    <t>/kkjpwyk</t>
  </si>
  <si>
    <t>;equks=h</t>
  </si>
  <si>
    <t>didksV fo/kkulHkk ds vukjEHk dk;ksZa dh lwph</t>
  </si>
  <si>
    <t>¼/kujkf'k yk[k :0 esa½</t>
  </si>
  <si>
    <t>Ø0
la0</t>
  </si>
  <si>
    <t>Qst</t>
  </si>
  <si>
    <t>ftyk</t>
  </si>
  <si>
    <t xml:space="preserve">dk;ZZ dk uke </t>
  </si>
  <si>
    <t>iSdst la[;k</t>
  </si>
  <si>
    <t>LVst&amp;1@2@vi@ lsrq</t>
  </si>
  <si>
    <t>fo/kku lHkk</t>
  </si>
  <si>
    <t>[k.M dk uke</t>
  </si>
  <si>
    <t>QeZ@Bsdsnkj dk uke</t>
  </si>
  <si>
    <t>LohÑr ya0</t>
  </si>
  <si>
    <t>Hkkjr ljdkj ls fuekZ.k gsrq LohÑr /kujkf'k</t>
  </si>
  <si>
    <t>vuqcU/k ds vuqlkj</t>
  </si>
  <si>
    <t>dk;Z iw.kZ fd;s tkus dh lEHkkfor@
okLrfod frfFk</t>
  </si>
  <si>
    <t>vuqcU/k@vokMZ dh /kujkf'k</t>
  </si>
  <si>
    <t>dqy O;;</t>
  </si>
  <si>
    <t>HkkSfrd izxfr</t>
  </si>
  <si>
    <t>dk;Z dh fLFkfr izxfr ij@iw.kZ</t>
  </si>
  <si>
    <t>ouHkwfe@dk;Z@vkj0Vh0vks0 fujh{k.k dh fLFkfr gsrq fVIi.kh</t>
  </si>
  <si>
    <t>izkjEHk dh frfFk</t>
  </si>
  <si>
    <t>lekfIr dh frfFk</t>
  </si>
  <si>
    <t>fuekZ.k</t>
  </si>
  <si>
    <t>vU; LohÑfr;ka</t>
  </si>
  <si>
    <t>I</t>
  </si>
  <si>
    <t>}kjkgkV vlxksyh eksVj ekxZ fdeh0 4&amp;11</t>
  </si>
  <si>
    <t>UT 01-01</t>
  </si>
  <si>
    <t>UG</t>
  </si>
  <si>
    <t>Dwarahat</t>
  </si>
  <si>
    <t>Almora-2</t>
  </si>
  <si>
    <t>-</t>
  </si>
  <si>
    <t>dk;Z iw.kZA</t>
  </si>
  <si>
    <t>gLrkUrfjrA</t>
  </si>
  <si>
    <t>dkQyh[kku cukyh eksVj ekxZ fdeh0 16&amp;24</t>
  </si>
  <si>
    <t>UT 01-02</t>
  </si>
  <si>
    <t>Jageshwar</t>
  </si>
  <si>
    <t>Almora-1</t>
  </si>
  <si>
    <t>Shri Gopal Singh Matiyani</t>
  </si>
  <si>
    <t>30.10.01</t>
  </si>
  <si>
    <t>29.06.02</t>
  </si>
  <si>
    <t>30.10.03</t>
  </si>
  <si>
    <t>/kkSyknsoh&amp;[ksrh[kku eksVj ekxZ fdeh0 
0-25 &amp; 5-0</t>
  </si>
  <si>
    <t>UT 01-03</t>
  </si>
  <si>
    <t>M/S. Shivalik Construction</t>
  </si>
  <si>
    <t>30.09.05</t>
  </si>
  <si>
    <t>vjrksyh tkxs'oj uSuh eksVj ekxZ fdeh0 11&amp;13</t>
  </si>
  <si>
    <t>II (UIDP)</t>
  </si>
  <si>
    <t>fctkSfj;k&amp;iPphlh eksVj ekxZ fdeh0 1&amp;4</t>
  </si>
  <si>
    <t>II</t>
  </si>
  <si>
    <t>Someshwar</t>
  </si>
  <si>
    <t>30.04.05</t>
  </si>
  <si>
    <t>fctkSfj;k&amp;iPphlh eksVj ekxZ fdeh0 5&amp;9</t>
  </si>
  <si>
    <t>30.11.06</t>
  </si>
  <si>
    <t>eNksM+&amp;tk[k eksVj ekxZ fdeh0 1&amp;4</t>
  </si>
  <si>
    <t>UT 01-05</t>
  </si>
  <si>
    <t>Sult</t>
  </si>
  <si>
    <t>31.03.04</t>
  </si>
  <si>
    <t>eNksM+&amp;tk[k eksVj ekxZ fdeh0 5&amp;9</t>
  </si>
  <si>
    <t>UT 01-06</t>
  </si>
  <si>
    <t>31.12.05</t>
  </si>
  <si>
    <t>HkkSu[kky&amp;rM+e eksVj ekxZ fdeh0 1&amp;5</t>
  </si>
  <si>
    <t>UT 01-07</t>
  </si>
  <si>
    <t>fctkSfj;k&amp;iPphlh ekxZ ij 36eh0 Liku ds lsrq dk fuekZ.k</t>
  </si>
  <si>
    <t>UT 01-08</t>
  </si>
  <si>
    <t>B</t>
  </si>
  <si>
    <t>II (PWD)</t>
  </si>
  <si>
    <t>iwukx&lt;+&amp;ukVkMksy eksVj ekxZ fdeh0 1&amp;4</t>
  </si>
  <si>
    <t>M/S. Himalaya Construction</t>
  </si>
  <si>
    <t>05.10.10</t>
  </si>
  <si>
    <t>04.07.11</t>
  </si>
  <si>
    <t>30.04.11</t>
  </si>
  <si>
    <t>iwukx&lt;+&amp;ukVkMksy eksVj ekxZ fdeh0 5&amp;8</t>
  </si>
  <si>
    <t>UT 01-04</t>
  </si>
  <si>
    <t>30.09.11/
29.02.12</t>
  </si>
  <si>
    <t>III</t>
  </si>
  <si>
    <t xml:space="preserve">,l0,p0&amp;37 ds fdeh0&amp;37 ls lquksyhekQh eksVj ekxZ </t>
  </si>
  <si>
    <t>M/s Rana Constt.,</t>
  </si>
  <si>
    <t>21.03.06</t>
  </si>
  <si>
    <t>20.03.07</t>
  </si>
  <si>
    <t>31.01.09</t>
  </si>
  <si>
    <t>vks0Mh0vkj0&amp;51 ls vkjklyij eksVj ekxZ</t>
  </si>
  <si>
    <t>M/s Dalip Singh Adhikari</t>
  </si>
  <si>
    <t>15.05.06</t>
  </si>
  <si>
    <t>14.5.07</t>
  </si>
  <si>
    <t>31.12.07</t>
  </si>
  <si>
    <t xml:space="preserve">vks0Mh0vkj0&amp;8 ls vkjklyij eksVj ekxZ </t>
  </si>
  <si>
    <t xml:space="preserve">vks0Mh0vkj0&amp;36 ls tkykgkV eksVj ekxZ </t>
  </si>
  <si>
    <t>M/s GS Matiyani</t>
  </si>
  <si>
    <t>29.02.08</t>
  </si>
  <si>
    <t>28.02.09</t>
  </si>
  <si>
    <t>31.12.09</t>
  </si>
  <si>
    <t>IV</t>
  </si>
  <si>
    <t>vksMhvkj&amp;18 ¼rYyk eujky½ ls H;kjh ekxZ</t>
  </si>
  <si>
    <t>M/s Trilok Singh Ram Singh Jamnal</t>
  </si>
  <si>
    <t>31.10.06</t>
  </si>
  <si>
    <t>30.10.07</t>
  </si>
  <si>
    <t>31.07.08</t>
  </si>
  <si>
    <t>vks0Mh0vkj0&amp;59 ¼ydjdksV½ ls eV[kkuh eksVj ekxZ</t>
  </si>
  <si>
    <t>28.03.06</t>
  </si>
  <si>
    <t>27.03.07</t>
  </si>
  <si>
    <t>vks0Mh0vkj0&amp;59 ¼ljbZ [ksr½ ls pDdjxkao eksVj ekxZ</t>
  </si>
  <si>
    <t>tSUFkk ls dksVqjk eksVj ekxZ</t>
  </si>
  <si>
    <t>M/s Naini Valley Constt.</t>
  </si>
  <si>
    <t>19.03.07</t>
  </si>
  <si>
    <t>18.03.08</t>
  </si>
  <si>
    <t>31.03.11</t>
  </si>
  <si>
    <t>,e-Mh-vkj- &amp; 25 ls Hkkxk nsoyh eksVj ekxZ</t>
  </si>
  <si>
    <t>8.12.06</t>
  </si>
  <si>
    <t>7.12.07</t>
  </si>
  <si>
    <t>31.03.09</t>
  </si>
  <si>
    <t>V</t>
  </si>
  <si>
    <t>pkSdquh ls Mqxksjk eksVj ekxZ</t>
  </si>
  <si>
    <t>M/s Highway Constt.</t>
  </si>
  <si>
    <t>28.02.08</t>
  </si>
  <si>
    <t>27.02.09</t>
  </si>
  <si>
    <t>ekfu;kxj ls [kksyk eksVj ekxZ</t>
  </si>
  <si>
    <t>M/s Khushal Singh Adhikari</t>
  </si>
  <si>
    <t>11.07.08</t>
  </si>
  <si>
    <t>10.07.09</t>
  </si>
  <si>
    <t>31.03.10</t>
  </si>
  <si>
    <t>ns?kkV ls fpUrksyh eksVj ekxZ</t>
  </si>
  <si>
    <t>M/s Kundan Singh Prem Singh Jamnal</t>
  </si>
  <si>
    <t>25.03.08</t>
  </si>
  <si>
    <t>24.03.09</t>
  </si>
  <si>
    <t>pkSlkyk ls fpV ¼fpy½ eksVj ekxZ</t>
  </si>
  <si>
    <t>05.12.07</t>
  </si>
  <si>
    <t>04.12.08</t>
  </si>
  <si>
    <t>isV'kky&amp;ckeuLoky ls didksV eksVj ekxZ</t>
  </si>
  <si>
    <t>vks0Mh0vkj0 &amp;08 ¼xqjkukckat½ ls pkeh&amp;vjpksyh eksVj ekxZ</t>
  </si>
  <si>
    <t>01.01.08</t>
  </si>
  <si>
    <t>31.12.08</t>
  </si>
  <si>
    <t>31.10.09</t>
  </si>
  <si>
    <t>lkS/kkj ls iuqvk nks[ku eksVj ekxZ</t>
  </si>
  <si>
    <t>VI</t>
  </si>
  <si>
    <t>,srh ls nlhyh eksVj ekxZ</t>
  </si>
  <si>
    <t>M/s Om Construction</t>
  </si>
  <si>
    <t>11.12.09</t>
  </si>
  <si>
    <t>10.12.10</t>
  </si>
  <si>
    <t>31.05.11</t>
  </si>
  <si>
    <t>,eMhvkj&amp;14 ds fdeh0&amp;4 ls ikyh uMkSyh eksVj ekxZ</t>
  </si>
  <si>
    <t>Ranikhet</t>
  </si>
  <si>
    <t>03.11.09</t>
  </si>
  <si>
    <t>02.08.10</t>
  </si>
  <si>
    <t>29.02.12</t>
  </si>
  <si>
    <t>lqfu;kdksV ls eVsyk eksVj ekxZ LVst&amp;2 ds dk;Z</t>
  </si>
  <si>
    <t>I &amp; II</t>
  </si>
  <si>
    <t>M/s Rajindra &amp; Com.</t>
  </si>
  <si>
    <t>16.06.10</t>
  </si>
  <si>
    <t>15.09.11</t>
  </si>
  <si>
    <t>izxfr ij@ vo'ks"k dk;Z dh fufonk vkeaf=rA</t>
  </si>
  <si>
    <t>iwoZ esa gLrkUrfjrA</t>
  </si>
  <si>
    <t>,l,p&amp;6 ds fdeh0&amp;187 ls lqibZ&amp;lqi;ky eksVj ekxZ</t>
  </si>
  <si>
    <t>M/s Super Construction</t>
  </si>
  <si>
    <t>jkeiqj ls VVkyxkao eksVj ekxZ</t>
  </si>
  <si>
    <t>GS Adhikari</t>
  </si>
  <si>
    <t>22.10.13</t>
  </si>
  <si>
    <t>21.10.14</t>
  </si>
  <si>
    <t>31.01.15</t>
  </si>
  <si>
    <t>csrqu/kkj ls ekjdqokcxy eksVj ekxZ</t>
  </si>
  <si>
    <t>M/s Highway Construction</t>
  </si>
  <si>
    <t>27.03.10</t>
  </si>
  <si>
    <t>26.09.11</t>
  </si>
  <si>
    <t>31.03.14</t>
  </si>
  <si>
    <t>mnyh[kku ls csfgVxkao eksVj ekxZ</t>
  </si>
  <si>
    <t>M/s M.M. Construction</t>
  </si>
  <si>
    <t>20.04.10</t>
  </si>
  <si>
    <t>19.04.11</t>
  </si>
  <si>
    <t>31.05.13</t>
  </si>
  <si>
    <t>VII</t>
  </si>
  <si>
    <t>&gt;hekj ls fHkrkdksV eksVj ekxZ</t>
  </si>
  <si>
    <t>M/s NZ Constt.</t>
  </si>
  <si>
    <t>19.01.11</t>
  </si>
  <si>
    <t>18.07.12</t>
  </si>
  <si>
    <t>izxfr ijA</t>
  </si>
  <si>
    <t>/kkSykNhuk ls dupwyk eksVj ekxZ</t>
  </si>
  <si>
    <t>01.04.13</t>
  </si>
  <si>
    <t>ceL;wa ls [kqfl;kdksV eksVj ekxZ</t>
  </si>
  <si>
    <t>28.10.09</t>
  </si>
  <si>
    <t>27.06.11</t>
  </si>
  <si>
    <t>rM+kxrky ls [kkyk eksVj ekxZ</t>
  </si>
  <si>
    <t>Shri NS Rawat</t>
  </si>
  <si>
    <t>22.12.11</t>
  </si>
  <si>
    <t>21.12.12</t>
  </si>
  <si>
    <t>31.05.15</t>
  </si>
  <si>
    <t>Hkqtku pkiM+ ls fgnke eksVj ekxZ</t>
  </si>
  <si>
    <t>Shri Dalip Singh Adhikari</t>
  </si>
  <si>
    <t>09.03.10</t>
  </si>
  <si>
    <t>08.09.11</t>
  </si>
  <si>
    <t>30.06.11</t>
  </si>
  <si>
    <t>Nktk ls Qrdy Maqxjk eksVj ekxZ</t>
  </si>
  <si>
    <t>13.12.11</t>
  </si>
  <si>
    <t>12.06.13</t>
  </si>
  <si>
    <t>isijlksyh ls cYrk eksVj ekxZ</t>
  </si>
  <si>
    <t>UT 01-09</t>
  </si>
  <si>
    <t>M/s Deepak Kapri</t>
  </si>
  <si>
    <t>05.03.11</t>
  </si>
  <si>
    <t>04.03.12</t>
  </si>
  <si>
    <t>31.03.12</t>
  </si>
  <si>
    <t>clksyh&amp;iks[kjh ls ukbZ&lt;kSy eksVj ekxZ</t>
  </si>
  <si>
    <t>UT 01-10</t>
  </si>
  <si>
    <t>Jitendra Kumar &amp; Co.</t>
  </si>
  <si>
    <t>04.06.12</t>
  </si>
  <si>
    <t>VIII</t>
  </si>
  <si>
    <t>Sera Gad (Ghat) to Kunj Kimola Motor Road, L021</t>
  </si>
  <si>
    <t>Dalip Singh Adhikari</t>
  </si>
  <si>
    <t>10.02.14</t>
  </si>
  <si>
    <t>09.08.15</t>
  </si>
  <si>
    <t>Supaikhan to Baman Tilari Motor Road, L025</t>
  </si>
  <si>
    <t>M/s Virendra Kumar</t>
  </si>
  <si>
    <t>26.11.12</t>
  </si>
  <si>
    <t>25.02.14</t>
  </si>
  <si>
    <t>31.10.14</t>
  </si>
  <si>
    <t>Bhagadevali to Mergaon Motor Road, L042</t>
  </si>
  <si>
    <t>PD Garhkoti</t>
  </si>
  <si>
    <t>Manthagar to Bantho (Baanthok) Motor Road, L038</t>
  </si>
  <si>
    <t>12.01.15</t>
  </si>
  <si>
    <t>11.07.16</t>
  </si>
  <si>
    <t>Kusal Bend to Jhaldungra Motor Road, L028</t>
  </si>
  <si>
    <t>KSB Contractor</t>
  </si>
  <si>
    <t>25.04.11</t>
  </si>
  <si>
    <t>24.01.12</t>
  </si>
  <si>
    <t>Daniya to Ara-Salphar Motor Road, Stage-II (L27)</t>
  </si>
  <si>
    <t>08.03.11</t>
  </si>
  <si>
    <t>07.09.12</t>
  </si>
  <si>
    <t>31.01.13</t>
  </si>
  <si>
    <t>Arti (Hanuman Mandir) to Rangori-Galli Motor Road, L028</t>
  </si>
  <si>
    <t>UT 01-11</t>
  </si>
  <si>
    <t>Khushal Singh Adhikari</t>
  </si>
  <si>
    <t>07.03.12</t>
  </si>
  <si>
    <t>Pathli Bagh to Barson (Barseemi) Motor Road, L037</t>
  </si>
  <si>
    <t>UT 01-12</t>
  </si>
  <si>
    <t>GH Constt.</t>
  </si>
  <si>
    <t>04.01.14</t>
  </si>
  <si>
    <t>03.01.15</t>
  </si>
  <si>
    <t>Harara to Pinakot Motor Road, L039</t>
  </si>
  <si>
    <t>UT 01-24</t>
  </si>
  <si>
    <t>Uttaranchal Builders</t>
  </si>
  <si>
    <t>30.11.14</t>
  </si>
  <si>
    <t>Hinola to Kane-Khalpati Motor Road, L048</t>
  </si>
  <si>
    <t>UT 01-25</t>
  </si>
  <si>
    <t>Shiv Shankar Constt. Co.</t>
  </si>
  <si>
    <t>Chichon to Airari Bisht Motor Road, L026</t>
  </si>
  <si>
    <t>UT 01-27</t>
  </si>
  <si>
    <t>Bodh Singh</t>
  </si>
  <si>
    <t>04.06.13</t>
  </si>
  <si>
    <t>03.06.14</t>
  </si>
  <si>
    <t>Uprari to Shilingi Motor Road, L038</t>
  </si>
  <si>
    <t>UT 01-28</t>
  </si>
  <si>
    <t>Crystal Infrastructure</t>
  </si>
  <si>
    <t>Parkot to Jakh-Bainauli Motor Road, L044</t>
  </si>
  <si>
    <t>UT 01-29</t>
  </si>
  <si>
    <t>Aina to Jakh-Bhitarkot Motor Road, L049</t>
  </si>
  <si>
    <t>UT 01-31</t>
  </si>
  <si>
    <t>05.03.11/
28.01.15</t>
  </si>
  <si>
    <t>04.03.12/
27.01.16</t>
  </si>
  <si>
    <t>Thala-Manral to Bhyari Motor Road, Stage-II (L051)</t>
  </si>
  <si>
    <t>UT 01-33</t>
  </si>
  <si>
    <t>Trilok Singh Ram Singh Jamnal</t>
  </si>
  <si>
    <t>31.11.12</t>
  </si>
  <si>
    <t>ODR 59 Lakharkot to Matkhani Motor Road, Stage-II (L037)</t>
  </si>
  <si>
    <t>UT 01-34</t>
  </si>
  <si>
    <t>Rajinder Singh Kuldeep Singh</t>
  </si>
  <si>
    <t>04.12.11</t>
  </si>
  <si>
    <t>ODR 59 Saraikhet to Chakar Gaon Motor Road, Stage-II (L036)</t>
  </si>
  <si>
    <t>UT 01-35</t>
  </si>
  <si>
    <t>Shiv Shakti Engg. Ent.</t>
  </si>
  <si>
    <t>Chausala to Chit (Chill) Motor Road, Stage-II (L033)</t>
  </si>
  <si>
    <t>UT 01-37</t>
  </si>
  <si>
    <t>Super Constt.</t>
  </si>
  <si>
    <t>31.07.13</t>
  </si>
  <si>
    <t>NH-37 Km 37 (Basoli) to Sunoli Mafi Motor Road, Stage-II (L030)</t>
  </si>
  <si>
    <t>UT 01-38</t>
  </si>
  <si>
    <t>Rana Constt.</t>
  </si>
  <si>
    <t>25.06.11</t>
  </si>
  <si>
    <t>24.06.12</t>
  </si>
  <si>
    <t>MDR-25 to Bhaga Devli Motor Road, Stage-II (L041)</t>
  </si>
  <si>
    <t>UT 01-39</t>
  </si>
  <si>
    <t>GS Matiyani &amp; Sons</t>
  </si>
  <si>
    <t>IX</t>
  </si>
  <si>
    <t>Chamtola to Papoli Motor Road, L030, Stage-I&amp;II</t>
  </si>
  <si>
    <t>I&amp;II</t>
  </si>
  <si>
    <t>15.07.13</t>
  </si>
  <si>
    <t>14.07.14</t>
  </si>
  <si>
    <t>uki Hkwfe dh LohÑfr gks pqdh gSA</t>
  </si>
  <si>
    <t>X</t>
  </si>
  <si>
    <t>Katkinal to Ajoli Talli Motor Road, Stage-I</t>
  </si>
  <si>
    <t>Completed</t>
  </si>
  <si>
    <t>Naukuchiya to Ranthamal Motor Road, Stage-I</t>
  </si>
  <si>
    <t>Kundan Singh Prem Singh Jamnal</t>
  </si>
  <si>
    <t>Work in Progress</t>
  </si>
  <si>
    <t>Tarari to Talya Motor Road, Stage-I</t>
  </si>
  <si>
    <t>Naini Valley Constt.</t>
  </si>
  <si>
    <t>29.06.13</t>
  </si>
  <si>
    <t>28.06.14</t>
  </si>
  <si>
    <t>30.06.15</t>
  </si>
  <si>
    <t>Petshal-Bamanswal to Kapkot Motor Road, Stage-II</t>
  </si>
  <si>
    <t>ART Infra Solution</t>
  </si>
  <si>
    <t>18.06.13</t>
  </si>
  <si>
    <t>17.09.14</t>
  </si>
  <si>
    <t>Maniyagar to Khola Motor Road, Stage-II</t>
  </si>
  <si>
    <t>19.06.13</t>
  </si>
  <si>
    <t>18.06.14</t>
  </si>
  <si>
    <t>Guranabanj to Chami-Archoli Motor Road, Stage-II</t>
  </si>
  <si>
    <t>18.09.14</t>
  </si>
  <si>
    <t>XI</t>
  </si>
  <si>
    <t>Saundhar to Panuwadekhan Motor Road,Stage-II</t>
  </si>
  <si>
    <t>23.12.13</t>
  </si>
  <si>
    <t>22.06.15</t>
  </si>
  <si>
    <t>60 Mtr. Span Steel Girder Bridge at Km 13 Saudhar to Panuwadekhan Motor Road</t>
  </si>
  <si>
    <t>KGL Infrastructure</t>
  </si>
  <si>
    <t>04.03.14</t>
  </si>
  <si>
    <t>03.09.15</t>
  </si>
  <si>
    <t>48 Mtr. Span Steel Girder Bridge at Km 8 Deghat to Chintoli Motor Road</t>
  </si>
  <si>
    <t>24.05.14</t>
  </si>
  <si>
    <t>23.05.15</t>
  </si>
  <si>
    <t>Km 187 of SH6 to Supai Supyal Motor Road, Stage-II</t>
  </si>
  <si>
    <t>28.01.14</t>
  </si>
  <si>
    <t>27.01.15</t>
  </si>
  <si>
    <t>Aiti to Dasili  Motor Road, Stage-II</t>
  </si>
  <si>
    <t>Kamleshwar Mishra</t>
  </si>
  <si>
    <t>21.01.14</t>
  </si>
  <si>
    <t>20.01.15</t>
  </si>
  <si>
    <t>Papersoli to Belta Motor Road, Stage-II</t>
  </si>
  <si>
    <t>Shiv Raj Banola JV</t>
  </si>
  <si>
    <t>10.12.13</t>
  </si>
  <si>
    <t>09.12.14</t>
  </si>
  <si>
    <t>31.07.15</t>
  </si>
  <si>
    <t>30 Mtr. Span Steel Girder Bridge at Km 4 Chokauni to Daugura Motor Road</t>
  </si>
  <si>
    <t>Almora-PWD</t>
  </si>
  <si>
    <t>18.02.15</t>
  </si>
  <si>
    <t>17.02.16</t>
  </si>
  <si>
    <t>30 Mtr. Span Steel Girder Bridge at Km 15 Chokauni to Daugura Motor Road</t>
  </si>
  <si>
    <t>Masi - Jalali Road to Kabdola (Kabrola) via Kanrai Motor Road, Stage-I</t>
  </si>
  <si>
    <t>Hillways Constt.</t>
  </si>
  <si>
    <t>XII (RP)</t>
  </si>
  <si>
    <t>Km 31 of ODR 30 to Jaminiwar Motor Road, Stage-I</t>
  </si>
  <si>
    <t>UT 01-17</t>
  </si>
  <si>
    <t>Chandan Singh Quarabi</t>
  </si>
  <si>
    <t>Km-31 of Almora-Baijnath-Gwaldam-Karanprayag Motor Road (Manan) to Bamnigarh Motor Road, Stage-I</t>
  </si>
  <si>
    <t>UT 01-23</t>
  </si>
  <si>
    <t>Transferred</t>
  </si>
  <si>
    <t>Jalna to Tuleri Motor Road, Stage-I</t>
  </si>
  <si>
    <t>Masi - Jalali Road to Unchabahan Motor Road, Stage-I</t>
  </si>
  <si>
    <t>Ajay Sharma</t>
  </si>
  <si>
    <t>23.07.14</t>
  </si>
  <si>
    <t>22.07.15</t>
  </si>
  <si>
    <t>Mornaula to Khankar Motor Road, Stage-I</t>
  </si>
  <si>
    <t>UT 01-26</t>
  </si>
  <si>
    <t>Barahi Constt.</t>
  </si>
  <si>
    <t>26.09.14</t>
  </si>
  <si>
    <t>25.09.15</t>
  </si>
  <si>
    <t>XII (WB)</t>
  </si>
  <si>
    <t>Khushalband to Jhaldungra Motor Road, Stage-II</t>
  </si>
  <si>
    <t>Super Constt. Associates</t>
  </si>
  <si>
    <t>06.01.15</t>
  </si>
  <si>
    <t>05.01.16</t>
  </si>
  <si>
    <t>ODR-36 to Jalahat Motor Road, Stage-II</t>
  </si>
  <si>
    <t>11.02.15</t>
  </si>
  <si>
    <t>10.02.16</t>
  </si>
  <si>
    <t>Chaukuni to Dogura Motor Road, Stage-II</t>
  </si>
  <si>
    <t>UT 01-13</t>
  </si>
  <si>
    <t>Fin. Ev.</t>
  </si>
  <si>
    <t>Km 4 of MDR-14(Ganiyadoli) to Pali Nadoli Motor Road, Stage-II</t>
  </si>
  <si>
    <t>UT 01-14</t>
  </si>
  <si>
    <t>Kunwar Constt. JV</t>
  </si>
  <si>
    <t>24.12.14</t>
  </si>
  <si>
    <t>23.12.15</t>
  </si>
  <si>
    <t>Bamsu to Khusiakot Motor Road, Stage-II</t>
  </si>
  <si>
    <t>UT 01-15</t>
  </si>
  <si>
    <t>Laxman Singh Kwarbi</t>
  </si>
  <si>
    <t>19.07.14</t>
  </si>
  <si>
    <t>18.09.15</t>
  </si>
  <si>
    <t>Bhujan-Chapad to Hidam Motor Road, Stage-II</t>
  </si>
  <si>
    <t>UT 01-16</t>
  </si>
  <si>
    <t>13.11.14</t>
  </si>
  <si>
    <t>12.05.16</t>
  </si>
  <si>
    <t>Deghat to Chintoli Motor Road, Stage-II</t>
  </si>
  <si>
    <t>UT 01-18</t>
  </si>
  <si>
    <t>Rebid</t>
  </si>
  <si>
    <t>didksV lerste eksVj ekxZ fdeh0 53&amp;58</t>
  </si>
  <si>
    <t>UT 02-01</t>
  </si>
  <si>
    <t>Kapkot</t>
  </si>
  <si>
    <t>08/03</t>
  </si>
  <si>
    <t>08/04</t>
  </si>
  <si>
    <t>03/06</t>
  </si>
  <si>
    <t>didksV lerste eksVj ekxZ fdeh0 59&amp;62</t>
  </si>
  <si>
    <t>UT 02-02</t>
  </si>
  <si>
    <t>didksV fiaMjh Xysf'k;j eksVj  ekxZ fdeh0 12-75&amp;14-75</t>
  </si>
  <si>
    <t>ckxs'oj nksQkM+ /kjex&lt;+ eksVj ekxZ fdeh0 32&amp;39</t>
  </si>
  <si>
    <t>UT 02-03</t>
  </si>
  <si>
    <t xml:space="preserve">dU/kkj &amp; jksy;kuk eksVj ekxZ </t>
  </si>
  <si>
    <t>31/05/06</t>
  </si>
  <si>
    <t xml:space="preserve">vk;krksyk &amp; otwyk eksVj ekxZ </t>
  </si>
  <si>
    <t>30/05/06</t>
  </si>
  <si>
    <t xml:space="preserve">dFkiqfj;kNhuk ls vlkSu eksVj ekxZ </t>
  </si>
  <si>
    <t>[kjys[k &amp; Hkukj eksVj ekxZ fdeh0 1&amp;8</t>
  </si>
  <si>
    <t>30/06/06</t>
  </si>
  <si>
    <t>didksV&amp;dehZ ekxZ fdeh0 18&amp;22</t>
  </si>
  <si>
    <t>UT 02-05</t>
  </si>
  <si>
    <t>31/03/06</t>
  </si>
  <si>
    <t xml:space="preserve">phjcxM+ ls iksFkhu eksVj ekxZ </t>
  </si>
  <si>
    <t>UT 02-06</t>
  </si>
  <si>
    <t>30/05/07</t>
  </si>
  <si>
    <t>[kjys[k &amp; Hkukj eksVj ekxZ fdeh0 8&amp;15</t>
  </si>
  <si>
    <t>UT 02-04</t>
  </si>
  <si>
    <t>23.10.10</t>
  </si>
  <si>
    <t>22.10.11</t>
  </si>
  <si>
    <t>22.06.11</t>
  </si>
  <si>
    <t xml:space="preserve">gjflyk ls ukudU;kyhdksV eksVj ekxZ </t>
  </si>
  <si>
    <t>M/s MS Associates</t>
  </si>
  <si>
    <t>17.12.05</t>
  </si>
  <si>
    <t>09.06.08</t>
  </si>
  <si>
    <t>31.01.10</t>
  </si>
  <si>
    <t>gjflyk ls ukudU;kyhdksV eksVj ekxZ ij iqy@iqfy;k</t>
  </si>
  <si>
    <t>15.09.08</t>
  </si>
  <si>
    <t>30.11.09</t>
  </si>
  <si>
    <t xml:space="preserve">equkjcS.M ¼HknzrqUxk½ ls lwih eksVj ekxZ </t>
  </si>
  <si>
    <t>07.03.06</t>
  </si>
  <si>
    <t>14.06.09</t>
  </si>
  <si>
    <t>30.09.09</t>
  </si>
  <si>
    <t xml:space="preserve">ekFkjks&amp;ikVyh ls yk[kuh eksVj ekxZ </t>
  </si>
  <si>
    <t>M/s Shivalik Constt.</t>
  </si>
  <si>
    <t>30.06.10</t>
  </si>
  <si>
    <t>gjflyk ls iqM+dquh eksVj ekxZ</t>
  </si>
  <si>
    <t>04.08.06</t>
  </si>
  <si>
    <t>dkSlkuh&amp;cnzhukFk ls Hkrfj;k eksVj ekxZ</t>
  </si>
  <si>
    <t>22.04.06</t>
  </si>
  <si>
    <t>31.08.09</t>
  </si>
  <si>
    <t>flej &amp; duL;kjh eksVj ekxZ</t>
  </si>
  <si>
    <t>M/s Panchghati Constt.</t>
  </si>
  <si>
    <t>23.03.06</t>
  </si>
  <si>
    <t>07.07.07</t>
  </si>
  <si>
    <t>31.01.08</t>
  </si>
  <si>
    <t>&amp;</t>
  </si>
  <si>
    <t>dkQyhx&lt;+&amp;dqylhj ekxZ dk ukSxkao&amp;lSat rd foLrkj</t>
  </si>
  <si>
    <t>26.11.07</t>
  </si>
  <si>
    <t>dkQyhx&lt;+&amp;dqylhj ekxZ ls ukSxkao&amp;lSat eksVj ekxZ ds fdeh0&amp;2 ,oa 5 ij 24eh0 Liku ds lsrqvksa dk fuekZ.k</t>
  </si>
  <si>
    <t>dU/kkj&amp;jksy;kuk ekxZ ls etdksV eksVj ekxZ</t>
  </si>
  <si>
    <t>M/s SR Enterprises</t>
  </si>
  <si>
    <t>dU/kkj&amp;jksy;kuk ekxZ ls etdksV eksVj ekxZ ds fdeh0&amp;8 ij 36eh0 Liku ds lsrq dk fuekZ.k</t>
  </si>
  <si>
    <t>dU/kkj&amp;jksy;kuk ekxZ ls etdksV eksVj ekxZ ds fdeh0&amp;5 ,oa 8 ij 24eh0 ,oa 18eh0 Liku ds lsrq dk fuekZ.k</t>
  </si>
  <si>
    <t>/kiksyh ls tSaBbZ eksVj ekxZ</t>
  </si>
  <si>
    <t>UT 02-14</t>
  </si>
  <si>
    <t>dfu;kyh dksV ls txFkkuk eksVj ekxZ</t>
  </si>
  <si>
    <t>Dilawar Singh (515.18 Lakh/ Dalip Singh Adhikari (62.28 Lakh)</t>
  </si>
  <si>
    <t>23.08.14</t>
  </si>
  <si>
    <t>22.08.15</t>
  </si>
  <si>
    <t>dfu;kyh dksV ls txFkkuk eksVj ekxZ ds fdeh0&amp;8 ,oa 10 ij 30eh0 Liku ds lsrqvksa dk fuekZ.k</t>
  </si>
  <si>
    <t>UT 02-08</t>
  </si>
  <si>
    <t>dfu;kyh dksV ls txFkkuk eksVj ekxZ ds fdeh0&amp;3 ,oa 4 ij 24eh0 Liku ds  lsrqvksa dk fuekZ.k</t>
  </si>
  <si>
    <t>UT 02-07</t>
  </si>
  <si>
    <t>Dilawar Singh</t>
  </si>
  <si>
    <t>16.09.08</t>
  </si>
  <si>
    <t>15.03.10</t>
  </si>
  <si>
    <t>31.01.11</t>
  </si>
  <si>
    <t>lkek&amp;yhrh ekxZ dk xksfxuk rd foLrkj</t>
  </si>
  <si>
    <t>UT 02-09</t>
  </si>
  <si>
    <t>27.05.08</t>
  </si>
  <si>
    <t>26.05.09</t>
  </si>
  <si>
    <t xml:space="preserve">lkek&amp;yhrh&amp;xksfxuk ekxZ ds fdeh0&amp;11 ij 30eh0 Liku ds lsrq dk fuekZ.k </t>
  </si>
  <si>
    <t>UT 02-10</t>
  </si>
  <si>
    <t>ckyh?kkV iUnzgikyh ls iqjdksV eksVj ekxZ</t>
  </si>
  <si>
    <t>UT 02-11</t>
  </si>
  <si>
    <t>ckxs'oj didksV rste ekxZ fdeh0 29 ls Qjlkyh iYyh eksVj ekxZ</t>
  </si>
  <si>
    <t>UT 02-12</t>
  </si>
  <si>
    <t>28.03.11</t>
  </si>
  <si>
    <t>lkek ls ukSdksM+h eksVj ekxZ</t>
  </si>
  <si>
    <t>UT 02-15</t>
  </si>
  <si>
    <t>31.12.11</t>
  </si>
  <si>
    <t>lkek ls ukSdksM+h eksVj ekxZ ds fdeh0&amp;14 ij 30eh0 Liku dk lsrq</t>
  </si>
  <si>
    <t>UT 02-16</t>
  </si>
  <si>
    <t>vk;krksyh&amp;otwyk ekxZ dk pkjksu rd foLrkj</t>
  </si>
  <si>
    <t>UT 02-13</t>
  </si>
  <si>
    <t>dkSlkuh&amp;cnzhukFk ls Hkrfj;k eksVj ekxZ ds fdeh0&amp;14 ij 36eh0 Liku dk lsrq</t>
  </si>
  <si>
    <t>UT 02-17</t>
  </si>
  <si>
    <t xml:space="preserve">Lal Singh </t>
  </si>
  <si>
    <t>24.02.15</t>
  </si>
  <si>
    <t>23.02.16</t>
  </si>
  <si>
    <t xml:space="preserve">fj[kkM+h ls okPNke eksVj ekxZ Hkkx&amp;1 </t>
  </si>
  <si>
    <t>27.12.10</t>
  </si>
  <si>
    <t xml:space="preserve">fj[kkM+h ls okPNke eksVj ekxZ Hkkx&amp;2 </t>
  </si>
  <si>
    <t xml:space="preserve">fj[kkM+h ls okPNke eksVj ekxZ Hkkx&amp;3 </t>
  </si>
  <si>
    <t>27.10.11</t>
  </si>
  <si>
    <t xml:space="preserve">fj[kkM+h ls okPNke eksVj ekxZ Hkkx&amp;4 </t>
  </si>
  <si>
    <t>Shri Khushal Singh Adhikari</t>
  </si>
  <si>
    <t>02.11.10</t>
  </si>
  <si>
    <t>/kje/kj ls ekt[ksr eksVj ekxZ</t>
  </si>
  <si>
    <t>M/s Panchghati Construction</t>
  </si>
  <si>
    <t>15.07.08</t>
  </si>
  <si>
    <t>14.07.09</t>
  </si>
  <si>
    <t>ckxs'oj&amp;fxjhNhuk ekxZ ls tkSydk.Ms eksVj ekxZ</t>
  </si>
  <si>
    <t>M/s Naini Valley Construction</t>
  </si>
  <si>
    <t>14.12.10</t>
  </si>
  <si>
    <t>iUnzikyh ls gjckM+ eksVj ekxZ</t>
  </si>
  <si>
    <t>M/s Shabir Ahmed</t>
  </si>
  <si>
    <t>30.06.08</t>
  </si>
  <si>
    <t>29.09.10</t>
  </si>
  <si>
    <t>ckxs'oj&amp;didksV ekxZ fdeh0&amp;18 ls fyyh eksVj ekxZ</t>
  </si>
  <si>
    <t>09.12.10</t>
  </si>
  <si>
    <t>t[ksM+k ls Mkd?kV yeNwyk eksVj ekxZ</t>
  </si>
  <si>
    <t>M/s Star Construction</t>
  </si>
  <si>
    <t>01.06.09</t>
  </si>
  <si>
    <t>30.11.10</t>
  </si>
  <si>
    <t>Maxksyh lykuh ekxZ fdeh0&amp;19 ls xuhxkao eksVj ekxZ</t>
  </si>
  <si>
    <t>M/s Kushal Singh Adhikari</t>
  </si>
  <si>
    <t>31.08.11</t>
  </si>
  <si>
    <t>dU/kkj&amp;jksy;kuk eksVj ekxZ fdeh0&amp;1 ls fle[ksr eksVj ekxZ</t>
  </si>
  <si>
    <t>M/s P.D. Garhkoti</t>
  </si>
  <si>
    <t>16.03.10</t>
  </si>
  <si>
    <t>15.03.11</t>
  </si>
  <si>
    <t>dkQyhxSj ls [kksylhj eksVj ekxZ LVst&amp;1 o 2 ds dk;Z</t>
  </si>
  <si>
    <t>M/s Shivalik Construction</t>
  </si>
  <si>
    <t>vYeksM+k&amp;Xokyne ekxZ fdeh0&amp;82 ls gohy dqyoku eksVj ekxZ</t>
  </si>
  <si>
    <t>09.11.09</t>
  </si>
  <si>
    <t>dU/kkj&amp;jksy;kuk ekxZ fdeh0&amp;6 ls T;wukLVsV eksVj ekxZ</t>
  </si>
  <si>
    <t>cSM+k&amp;e&gt;sM+k ls tkjrh eksVj ekxZ</t>
  </si>
  <si>
    <t>Shivalik Constt.</t>
  </si>
  <si>
    <t>28.12.10</t>
  </si>
  <si>
    <t>27.03.12</t>
  </si>
  <si>
    <t>dkSlkuh ls Hkrfj;k eksVj ekxZ LVst&amp;2</t>
  </si>
  <si>
    <t>M/s Dilawar Singh/Mohan Constt. JV</t>
  </si>
  <si>
    <t>10.11.09/ 05.03.14</t>
  </si>
  <si>
    <t>09.05.11/ 04.03.15</t>
  </si>
  <si>
    <t>Bhanar-Lathi to Namtichetabagar Motor Road, L024</t>
  </si>
  <si>
    <t xml:space="preserve">19.07.11/
</t>
  </si>
  <si>
    <t xml:space="preserve">18.07.12/
</t>
  </si>
  <si>
    <t>izxfr ij@ vo'ks"k dk;Z dh fufonk LohÑrA</t>
  </si>
  <si>
    <t>Balighat-Dofar Motor Road to Chaura-Bheru Motor Road, L056</t>
  </si>
  <si>
    <t>28.02.11</t>
  </si>
  <si>
    <t>27.02.12</t>
  </si>
  <si>
    <t>Baijnath Bageshwar Motor Road to Tilsari Motor Road (L021)</t>
  </si>
  <si>
    <t>Hillways Constt. Co.</t>
  </si>
  <si>
    <t>31.08.15</t>
  </si>
  <si>
    <t>Bhilona to Pagna Motor Road, L037</t>
  </si>
  <si>
    <t>BMS Projects</t>
  </si>
  <si>
    <t>11.03.12</t>
  </si>
  <si>
    <t>30 Mtr. Span Steel Girder Bridge in Km 13 of Kharlekh -Bhanar Mtr. Rd. (L023)</t>
  </si>
  <si>
    <t>19.07.11</t>
  </si>
  <si>
    <t>Harsila to Nan-Kanyalikot Motor Road, Stage-II</t>
  </si>
  <si>
    <t>Doon Associates</t>
  </si>
  <si>
    <t>01.06.13</t>
  </si>
  <si>
    <t>31.05.14</t>
  </si>
  <si>
    <t>Bageshwar- Kapkot-Tejam M. R Km-29 to Farsali Palli Motor Road. Stage-II</t>
  </si>
  <si>
    <t>MS Associate</t>
  </si>
  <si>
    <t>16.07.13</t>
  </si>
  <si>
    <t>15.07.14</t>
  </si>
  <si>
    <t>Matharo Patali to Lakhani Motor Road, Stage-II</t>
  </si>
  <si>
    <t>UT 02-18</t>
  </si>
  <si>
    <t>Guru Gorakh Constt.</t>
  </si>
  <si>
    <t>15.06.13</t>
  </si>
  <si>
    <t>30.08.14</t>
  </si>
  <si>
    <t>Km 82 of Almora-Gwaldam Road to Haweel Kulwan Motor Road, Stage-II</t>
  </si>
  <si>
    <t>UT 02-19</t>
  </si>
  <si>
    <t>26.12.13</t>
  </si>
  <si>
    <t>10.12.14</t>
  </si>
  <si>
    <t>31.03.15</t>
  </si>
  <si>
    <t>Ayartoli-Wajula Road to Charson Motor Road, Stage-II</t>
  </si>
  <si>
    <t>UT 02-20</t>
  </si>
  <si>
    <t>Mohan Constt.</t>
  </si>
  <si>
    <t>16.06.13</t>
  </si>
  <si>
    <t>28.02.14</t>
  </si>
  <si>
    <t>Simar to Kansyari Motor Road, Stage-II</t>
  </si>
  <si>
    <t>UT 02-21</t>
  </si>
  <si>
    <t>05.12.13</t>
  </si>
  <si>
    <t>04.12.14</t>
  </si>
  <si>
    <t>30.04.15</t>
  </si>
  <si>
    <t>Balighat-Pandrapali to Purkot Motor Road, Stage-II</t>
  </si>
  <si>
    <t>UT 02-22</t>
  </si>
  <si>
    <t>Parihar Constt.</t>
  </si>
  <si>
    <t>11.06.13</t>
  </si>
  <si>
    <t>26.05.14</t>
  </si>
  <si>
    <t>Kafligair-Kholsir to Naugaon Motor Road, Stage-II</t>
  </si>
  <si>
    <t>UT 02-23</t>
  </si>
  <si>
    <t>DN Joshi</t>
  </si>
  <si>
    <t>30.05.14</t>
  </si>
  <si>
    <t>Bageshwar-Dofar-Kotmanya Rd. Km 70 to Mahruri Motor Road, Stage-I</t>
  </si>
  <si>
    <t>MM Constt.</t>
  </si>
  <si>
    <t>20.01.14</t>
  </si>
  <si>
    <t>19.01.15</t>
  </si>
  <si>
    <t>Kandhar-Rolyana Rd. Km 1 to Simkhet Motor Road, Stage-II</t>
  </si>
  <si>
    <t>21.12.13</t>
  </si>
  <si>
    <t>20.12.14</t>
  </si>
  <si>
    <t>Bageshwar-Girichhina Rd. to Jaulkandey Motor Road, Stage-II</t>
  </si>
  <si>
    <t>05.03.14</t>
  </si>
  <si>
    <t>04.06.15</t>
  </si>
  <si>
    <t>Jakhera-Dakghat to Lamchula Motor Road, Stage-II</t>
  </si>
  <si>
    <t>Vasudev Engg. Works</t>
  </si>
  <si>
    <t>22.02.14</t>
  </si>
  <si>
    <t>21.02.15</t>
  </si>
  <si>
    <t>Kandhar-Rolyana Rd. to Majkot Motor Road, Stage-II</t>
  </si>
  <si>
    <t>Pandrapali to Harbar Motor Road, Stage-II</t>
  </si>
  <si>
    <t>Global Constt. JV</t>
  </si>
  <si>
    <t>20.02.14</t>
  </si>
  <si>
    <t>19.02.15</t>
  </si>
  <si>
    <t>Dangoli-Salani Rd. Km 19 to Ganigaon Motor Road, Stage-II</t>
  </si>
  <si>
    <t>Rikhari to Wachham (Part-1) Motor Road, Stage-II</t>
  </si>
  <si>
    <t>Espan Infra.</t>
  </si>
  <si>
    <t>Work Awarded/
Govt.</t>
  </si>
  <si>
    <t>Rikhari to Wachham (Part-2) Motor Road, Stage-II</t>
  </si>
  <si>
    <t>Rikhari to Wachham (Part-3) Motor Road, Stage-II</t>
  </si>
  <si>
    <t>Rikhari to Wachham (Part-4) Motor Road, Stage-II</t>
  </si>
  <si>
    <t>NO (F)</t>
  </si>
  <si>
    <t>30 Mtr. Span Steel Girder Bridge at Km 7.70 Dharamdhar to Majkhet Motor Road</t>
  </si>
  <si>
    <t>Laxmi Datt Binwal</t>
  </si>
  <si>
    <t>27.11.13</t>
  </si>
  <si>
    <t>26.11.14</t>
  </si>
  <si>
    <t>30 Mtr. Span Steel Girder Bridge at Km 7.90 Dharamdhar to Majkhet Motor Road</t>
  </si>
  <si>
    <t>Panchghati Constt.</t>
  </si>
  <si>
    <t>30.12.13</t>
  </si>
  <si>
    <t>29.12.14</t>
  </si>
  <si>
    <t>36 Mtr. Span Steel Girder Bridge at Km 1 Bageshwar-Kapkot Motor Road Km 18 to Lili Motor Road</t>
  </si>
  <si>
    <t>M/s M.S. Associates</t>
  </si>
  <si>
    <t>30 Mtr. Span Steel Girder Bridge at Km 5 Bageshwar-Kapkot Motor Road Km 18 to Lili Motor Road</t>
  </si>
  <si>
    <t>30 Mtr. Span Steel Girder Bridge at Km 6.40 Bageshwar-Kapkot Motor Road Km 18 to Lili Motor Road</t>
  </si>
  <si>
    <t>Kundal Singh Nagarkoti</t>
  </si>
  <si>
    <t xml:space="preserve">48 Mtr. Span Steel Girder Bridge at Km 2 Kapkot-Karmi –Toli Motor Road to Baghar Motor Road </t>
  </si>
  <si>
    <t>Lal Singh Diwan</t>
  </si>
  <si>
    <t>Tender Accepted</t>
  </si>
  <si>
    <t>GoI</t>
  </si>
  <si>
    <t xml:space="preserve">48 Mtr. Span Steel Girder Bridge at Km 12 Kapkot-Karmi –Toli Motor Road </t>
  </si>
  <si>
    <t>30 Mtr. Span Steel Girder Bridge at Km 3 Pandrapali to Harbar Motor Road</t>
  </si>
  <si>
    <t>Anand Singh-  Anand Danu</t>
  </si>
  <si>
    <t>30 Mtr. Span Steel Girder Bridge at Km 8 Pandrapali to Harbar Motor Road</t>
  </si>
  <si>
    <t>23.10.13</t>
  </si>
  <si>
    <t>22.10.14</t>
  </si>
  <si>
    <t>31.12.14</t>
  </si>
  <si>
    <t>30 Mtr. Span Steel Girder Bridge at Km 4 Jakhera to Dakghat Lamchhula Motor Road</t>
  </si>
  <si>
    <t>30 Mtr. Span Steel Girder Bridge at Km 7 Jakhera to Dakghat Lamchhula Motor Road</t>
  </si>
  <si>
    <t>UT 02-24</t>
  </si>
  <si>
    <t>24.10.13</t>
  </si>
  <si>
    <t>23.10.14</t>
  </si>
  <si>
    <t>30 Mtr. Span Steel Girder Bridge at Km 4 Balighat-Dofar Rd. to Chaura Bheru Motor Road</t>
  </si>
  <si>
    <t>UT 02-25</t>
  </si>
  <si>
    <t>Om Costt.</t>
  </si>
  <si>
    <t>23.11.13</t>
  </si>
  <si>
    <t>07.11.14</t>
  </si>
  <si>
    <t>Principle</t>
  </si>
  <si>
    <t>Bijorijhal to Ukhalson Motor Road, Stage-I</t>
  </si>
  <si>
    <t>UT 02-28</t>
  </si>
  <si>
    <t>Panch Ghati Const.</t>
  </si>
  <si>
    <t>12.02.16</t>
  </si>
  <si>
    <t>Balighat-Dofar to Khuldori Motor Road, Stage-I</t>
  </si>
  <si>
    <t>UT 02-29</t>
  </si>
  <si>
    <t>18.10.14</t>
  </si>
  <si>
    <t>17.10.15</t>
  </si>
  <si>
    <t>Simgari Rd Ext. to Simgari Motor Road, Stage-I</t>
  </si>
  <si>
    <t>UT 02-30</t>
  </si>
  <si>
    <t>23.01.15</t>
  </si>
  <si>
    <t>22.01.16</t>
  </si>
  <si>
    <t>Garur Dhaira to Lakhni Motor Road, Upgradation</t>
  </si>
  <si>
    <t>UT 02-31</t>
  </si>
  <si>
    <t>25.02.15</t>
  </si>
  <si>
    <t>24.02.16</t>
  </si>
  <si>
    <t>Dangoli to Salani Motor Road, Upgradation</t>
  </si>
  <si>
    <t>UT 02-32</t>
  </si>
  <si>
    <t>04.03.15</t>
  </si>
  <si>
    <t>03.09.16</t>
  </si>
  <si>
    <t>Balighat-Dofar to Dharamdhar Motor Road, Upgradation</t>
  </si>
  <si>
    <t>UT 02-33</t>
  </si>
  <si>
    <t>17.03.15</t>
  </si>
  <si>
    <t>30.06.16</t>
  </si>
  <si>
    <t>Rolyana to Lohagarhi Motor Road, Stage-I</t>
  </si>
  <si>
    <t>UT 02-34</t>
  </si>
  <si>
    <t>17.01.16</t>
  </si>
  <si>
    <t>Simkhet to Magristate Motor Road, Stage-I</t>
  </si>
  <si>
    <t>UT 02-35</t>
  </si>
  <si>
    <t>Under Forest</t>
  </si>
  <si>
    <t>In-principle</t>
  </si>
  <si>
    <t>Kapkot to Karmi Motor Road, Upgradation</t>
  </si>
  <si>
    <t>UT 02-38</t>
  </si>
  <si>
    <t>25.03.15</t>
  </si>
  <si>
    <t>24.09.16</t>
  </si>
  <si>
    <t>Dhapoli to Jethai Motor Road, Stage-II</t>
  </si>
  <si>
    <t>UT 02-36</t>
  </si>
  <si>
    <t>Om Constt.</t>
  </si>
  <si>
    <t>18.10.15</t>
  </si>
  <si>
    <t>Sama-Liti Road to Gogina Motor Road, Stage-II</t>
  </si>
  <si>
    <t>UT 02-37</t>
  </si>
  <si>
    <t>dqfM+;kylSa.k lkcjhlSa.k uUniz;kx eksVj ekxZ</t>
  </si>
  <si>
    <t>UT 03-01</t>
  </si>
  <si>
    <t>Badrinath</t>
  </si>
  <si>
    <t>Pokhari</t>
  </si>
  <si>
    <t>Shri Shanti Prasad Semwal</t>
  </si>
  <si>
    <t>18.11.01</t>
  </si>
  <si>
    <t>07.11.02</t>
  </si>
  <si>
    <t xml:space="preserve">lywj Mwaxjk ls lSyax eksVj ekxZ </t>
  </si>
  <si>
    <t>UT 03-02</t>
  </si>
  <si>
    <t xml:space="preserve">yko.kh ls jke.kh eksVj ekxZ </t>
  </si>
  <si>
    <t>UT 03-03</t>
  </si>
  <si>
    <t>Tharali</t>
  </si>
  <si>
    <t>K'prayag-2</t>
  </si>
  <si>
    <t>27.12.01</t>
  </si>
  <si>
    <t>26.12.02</t>
  </si>
  <si>
    <t xml:space="preserve">jksfgM+k ls ift;kuk eksVj ekxZ </t>
  </si>
  <si>
    <t>UT 03-04</t>
  </si>
  <si>
    <t>Karnprayag</t>
  </si>
  <si>
    <t>K'prayag-1</t>
  </si>
  <si>
    <t>M/s Prayag Constt.</t>
  </si>
  <si>
    <t>27.11.01</t>
  </si>
  <si>
    <t>26.11.02</t>
  </si>
  <si>
    <t xml:space="preserve">iylkjh &amp; cfe;kyk eksVj ekxZ </t>
  </si>
  <si>
    <t xml:space="preserve">ij[kky&amp;dsnkjdksV eksVj ekxZ </t>
  </si>
  <si>
    <t>31/03/08</t>
  </si>
  <si>
    <t xml:space="preserve">gsyax&amp;mxZe eksVj ekxZ </t>
  </si>
  <si>
    <t>M/S Jitender Kumar &amp; Co.</t>
  </si>
  <si>
    <t>20.12.07</t>
  </si>
  <si>
    <t>19.12.08</t>
  </si>
  <si>
    <t>19.08.09</t>
  </si>
  <si>
    <t xml:space="preserve">gkiyk&amp;/kksrh/kkj eksVj ekxZ </t>
  </si>
  <si>
    <t>Sri Uma Shankasr Singh Rawat</t>
  </si>
  <si>
    <t>03.10.07</t>
  </si>
  <si>
    <t>02.10.08</t>
  </si>
  <si>
    <t>vij peksyh ls [kSuqjh eksVj ekxZ</t>
  </si>
  <si>
    <t>M/s Rajendra &amp; Co.</t>
  </si>
  <si>
    <t>25.07.08</t>
  </si>
  <si>
    <t>24.07.09</t>
  </si>
  <si>
    <t xml:space="preserve">fFkjikd ls dk.MbZ eksVj ekxZ </t>
  </si>
  <si>
    <t>14.11.05</t>
  </si>
  <si>
    <t>13.11.06</t>
  </si>
  <si>
    <t xml:space="preserve">nsoky ls [ksrk eksVj ekxZ </t>
  </si>
  <si>
    <t>M/s Bharat Bhoomi Builders</t>
  </si>
  <si>
    <t>18.05.05</t>
  </si>
  <si>
    <t>27.05.06</t>
  </si>
  <si>
    <t xml:space="preserve">ij[kky ls Mqaxjh eksVj ekxZ </t>
  </si>
  <si>
    <t>M/s Krishna Kant Kuniyal</t>
  </si>
  <si>
    <t>09.12.05</t>
  </si>
  <si>
    <t>13.08.06</t>
  </si>
  <si>
    <t xml:space="preserve">ij[kky&amp;dsnkjdksV ekxZ ds fdeh0&amp;11 ij 25eh0 Liku ds lsrq dk fuekZ.k </t>
  </si>
  <si>
    <t xml:space="preserve">UT 03-05 </t>
  </si>
  <si>
    <t>29.09.06</t>
  </si>
  <si>
    <t>31.03.08</t>
  </si>
  <si>
    <t>Fkjkyh&amp;Maqxjh ls :bZlka.k eksVj ekxZ</t>
  </si>
  <si>
    <t>M/s UmaShankar Singh Rawat</t>
  </si>
  <si>
    <t>01.03.06</t>
  </si>
  <si>
    <t>28.02.07</t>
  </si>
  <si>
    <t>cM+sFk ls fiUMokyh eksVj ekxZ</t>
  </si>
  <si>
    <t>19.08.06</t>
  </si>
  <si>
    <t>28.08.07</t>
  </si>
  <si>
    <t>Yok.kh ls ?kwuh eksVj ekxZ</t>
  </si>
  <si>
    <t>21.06.06</t>
  </si>
  <si>
    <t>20.06.07</t>
  </si>
  <si>
    <t>ukjk;.kcxM+&amp;d.kZiz;kx jksM fdeh0&amp;3 ls fdeksyh eksVj ekxZ</t>
  </si>
  <si>
    <t>UT 03-05</t>
  </si>
  <si>
    <t>30.08.06</t>
  </si>
  <si>
    <t>29.08.07</t>
  </si>
  <si>
    <t>ewykx&lt;+ ls eVbZ eksVj ekxZ</t>
  </si>
  <si>
    <t>UT 03-07</t>
  </si>
  <si>
    <t>20.03.06</t>
  </si>
  <si>
    <t xml:space="preserve">dqukjcS.M ls ?ksal eksVj ekxZ </t>
  </si>
  <si>
    <t>UT 03-08</t>
  </si>
  <si>
    <t>21.03.07</t>
  </si>
  <si>
    <t>20.03.08</t>
  </si>
  <si>
    <t>Fkjkyh ls dqjkM+ eksVj ekxZ</t>
  </si>
  <si>
    <t>M/s Jitendra Kumar</t>
  </si>
  <si>
    <t>mMkek.Mk ls jkSark eksVj ekxZ</t>
  </si>
  <si>
    <t>M/s Sanjay Constt.</t>
  </si>
  <si>
    <t>04.10.07</t>
  </si>
  <si>
    <t>03.10.08</t>
  </si>
  <si>
    <t>15.04.11</t>
  </si>
  <si>
    <t>yqokuh ls L;wvk eksVj ekxZ</t>
  </si>
  <si>
    <t>15.03.07</t>
  </si>
  <si>
    <t>14.03.08</t>
  </si>
  <si>
    <t>14.10.11</t>
  </si>
  <si>
    <t>iubZfleh ls mrjksa eksVj ekxZ</t>
  </si>
  <si>
    <t>M/s. Star Constt.</t>
  </si>
  <si>
    <t>05.03.10</t>
  </si>
  <si>
    <t>04.11.10</t>
  </si>
  <si>
    <t>dk.MbZ ls ixuk eksVj ekxZ</t>
  </si>
  <si>
    <t>19.03.09</t>
  </si>
  <si>
    <t>iylkjh&amp;cfe;kyk eksVj ekxZ dk cfe;kyk rd foLrkj ¼feflax fyad½</t>
  </si>
  <si>
    <t>UT 03-06</t>
  </si>
  <si>
    <t>22.09.07</t>
  </si>
  <si>
    <t>21.09.08</t>
  </si>
  <si>
    <t>Maqxjh ls jrxkao eksVj ekxZ</t>
  </si>
  <si>
    <t>04.03.08</t>
  </si>
  <si>
    <t>yklh ls ljrksyh eksVj ekxZ</t>
  </si>
  <si>
    <t xml:space="preserve">M/s Bhatt &amp; Thapliyal Engineering </t>
  </si>
  <si>
    <t>13.10.09</t>
  </si>
  <si>
    <t>12.10.10</t>
  </si>
  <si>
    <t>lkthyXxk eSdksV ls dqUtu eSdksV eksVj ekxZ</t>
  </si>
  <si>
    <t>M/s Parayag Construction</t>
  </si>
  <si>
    <t>24.10.10</t>
  </si>
  <si>
    <t>30.04.14</t>
  </si>
  <si>
    <t>d:M+ ls ekS[kh eksVj ekxZ</t>
  </si>
  <si>
    <t>M/s Birendra Singh Bisht</t>
  </si>
  <si>
    <t>12.01.11</t>
  </si>
  <si>
    <t>11.01.12</t>
  </si>
  <si>
    <t>ljeksyk ls jkukSa eksVj ekxZ</t>
  </si>
  <si>
    <t>M/s Jitender Kumar</t>
  </si>
  <si>
    <t>24.06.10</t>
  </si>
  <si>
    <t>lxokM+h ls iM+Fkkdquh eksVj ekxZ</t>
  </si>
  <si>
    <t>K'prayag</t>
  </si>
  <si>
    <t>M/s Uma Shankar Singh Rawat</t>
  </si>
  <si>
    <t>12.03.11</t>
  </si>
  <si>
    <t>ekjoM+h ls FkSax eksVj ekxZ</t>
  </si>
  <si>
    <t>Shri Ram Narayan</t>
  </si>
  <si>
    <t>01.04.10</t>
  </si>
  <si>
    <t>03.06.11</t>
  </si>
  <si>
    <t>yksgktx ls cSad eksVj ekxZ</t>
  </si>
  <si>
    <t>UT 03-09</t>
  </si>
  <si>
    <t>05.02.15</t>
  </si>
  <si>
    <t>04.02.16</t>
  </si>
  <si>
    <t>Fkjkyh&amp;Mqaxjh ls :bZlSa.k eksVj ekxZ ¼feflax fyad½</t>
  </si>
  <si>
    <t>UT 03-10</t>
  </si>
  <si>
    <t>Shri Uma Shankar Rawat</t>
  </si>
  <si>
    <t xml:space="preserve">lkth yXxk eSdksVh ls cse: eksVj ekxZ </t>
  </si>
  <si>
    <t>UT 03-11</t>
  </si>
  <si>
    <t>M/s Sanjay Construction</t>
  </si>
  <si>
    <t>19.03.10/
19.02.15</t>
  </si>
  <si>
    <t>29.09.11/
18.08.16</t>
  </si>
  <si>
    <t>fljdksV ls eBdksV eksVj ekxZ</t>
  </si>
  <si>
    <t>UT 03-12</t>
  </si>
  <si>
    <t>Vishal Constt., Pauri</t>
  </si>
  <si>
    <t>08.12.11</t>
  </si>
  <si>
    <t>?ksl ls cyku eksVj ekxZ</t>
  </si>
  <si>
    <t>20.03.10</t>
  </si>
  <si>
    <t>19.09.11</t>
  </si>
  <si>
    <t>cNsj ls rSjk[kulky eksVj ekxZ</t>
  </si>
  <si>
    <t>M/s Shail Shikhar Builders</t>
  </si>
  <si>
    <t>06.03.12</t>
  </si>
  <si>
    <t>05.12.12</t>
  </si>
  <si>
    <t>xnksjk ls NkSrqyh fd:yh eksVj ekxZ</t>
  </si>
  <si>
    <t>Gaur Infrastructure</t>
  </si>
  <si>
    <t>15.01.11</t>
  </si>
  <si>
    <t>14.01.12</t>
  </si>
  <si>
    <t>ekyx&lt;+ ls eft;kjh eYyh eksVj ekxZ</t>
  </si>
  <si>
    <t>09.02.15</t>
  </si>
  <si>
    <t>[kUuk ls [kqtklw iS.kh eksVj ekxZ</t>
  </si>
  <si>
    <t>Sadar Singh Yudhvir Singh</t>
  </si>
  <si>
    <t>ihiydksVh ls eBensVk eksVj ekxZ</t>
  </si>
  <si>
    <t>29.03.10</t>
  </si>
  <si>
    <t>28.06.11</t>
  </si>
  <si>
    <t>cksjkx&lt;+ ls pkSy eksVj ekxZ</t>
  </si>
  <si>
    <t>M/s Universal Associates</t>
  </si>
  <si>
    <t>12.06.11</t>
  </si>
  <si>
    <t>mTTkjiqj ls lse eksVj ekxZ</t>
  </si>
  <si>
    <t>futewyk ls bjkuh&amp;xksuk&amp;ik.kk eksVj ekxZ</t>
  </si>
  <si>
    <t>11.11.09</t>
  </si>
  <si>
    <t>10.05.11</t>
  </si>
  <si>
    <t>uUnds'kjh&amp;Xokyne ekxZ fdeh0&amp;1 ls tkSyk eksVj ekxZ</t>
  </si>
  <si>
    <t>cjpd ls lkath eksVj ekxZ</t>
  </si>
  <si>
    <t>M/s Sader Singh Yudhveer Singh</t>
  </si>
  <si>
    <t>19.06.11</t>
  </si>
  <si>
    <t>fleyh ls lkudksV eksVj ekxZ</t>
  </si>
  <si>
    <t>12.04.11</t>
  </si>
  <si>
    <t>cwaxk ls dksyikM+h eksVj ekxZ</t>
  </si>
  <si>
    <t>UT 03-13</t>
  </si>
  <si>
    <t>UmaShankar Singh Rawat</t>
  </si>
  <si>
    <t>05.07.14</t>
  </si>
  <si>
    <t>04.07.15</t>
  </si>
  <si>
    <t>Fkjkyh ls fdek.kh eksVj ekxZ</t>
  </si>
  <si>
    <t>UT 03-14</t>
  </si>
  <si>
    <t>01.11.13</t>
  </si>
  <si>
    <t>30.10.14</t>
  </si>
  <si>
    <t>Dewal to Kheta Motor Road, Stage-II (L027)</t>
  </si>
  <si>
    <t>14.07.12</t>
  </si>
  <si>
    <t>48 Mtr. Span Steel Girder Bridge in Km 21 of Dewal to Kheta Mtr. Rd. (L027)</t>
  </si>
  <si>
    <t>Tharali-Dungari to Ruisain Motor Road, Stage-II (L021)</t>
  </si>
  <si>
    <t>Uma Shankar Singh Rawat</t>
  </si>
  <si>
    <t>14.05.12</t>
  </si>
  <si>
    <t>48 Mtr. Span Steel Girder Bridge in Km 5 of Ghesh to Balan Mtr. Rd. (L026)</t>
  </si>
  <si>
    <t>Devendra Constt., DDN</t>
  </si>
  <si>
    <t>26.02.11</t>
  </si>
  <si>
    <t>25.02.12</t>
  </si>
  <si>
    <t>30 Mtr. Span Steel Girder Bridge in Km 3 of Bunga to Kolpuri Mtr. Rd. (L024)</t>
  </si>
  <si>
    <t>ekxZ ds lkFk gLrkUrfjrA</t>
  </si>
  <si>
    <t>24 Mtr. Span Steel Girder Bridge in Km 10 of Moolagarh to Matai Motor Road (L024)</t>
  </si>
  <si>
    <t>17.06.11</t>
  </si>
  <si>
    <t>16.03.12</t>
  </si>
  <si>
    <t>30 Mtr. Span Steel Girder Bridge in Km 11 of Lwani to Ghuni Mtr. Rd. (L034)</t>
  </si>
  <si>
    <t>36 Mtr. Span Steel Girder Bridge in Km 1 of Dungri to Ratgaon Mtr. Rd. (L023)</t>
  </si>
  <si>
    <t>Ram Narayan, Muz'nagar</t>
  </si>
  <si>
    <t>36 Mtr. Span Steel Girder Bridge in Km 4 of Dungri to Ratgaon Mtr. Rd. (L023)</t>
  </si>
  <si>
    <t>UT 03-15</t>
  </si>
  <si>
    <t>24 Mtr. Span Steel Girder Bridge in Km 4 of Upper Chamoli to Khenuri Motor Road (L026&amp;27)</t>
  </si>
  <si>
    <t>UT 03-16</t>
  </si>
  <si>
    <t>23.02.11</t>
  </si>
  <si>
    <t>22.02.12</t>
  </si>
  <si>
    <t>24 Mtr. Span Steel Girder Bridge in Km 10 of Narayanbagar-Karanprayag Road Km 3 to Kimoli Motor Road (L029)</t>
  </si>
  <si>
    <t>UT 03-17</t>
  </si>
  <si>
    <t>24 Mtr. Span Steel Girder Bridge in Km 12 of Narayanbagar-Karanprayag Road Km 3 to Kimoli Motor Road (L029)</t>
  </si>
  <si>
    <t>UT 03-18</t>
  </si>
  <si>
    <t>36Mtr. Span Steel Girder Bridge in Km 10 of Kunarbend to Ghesh Motor Road (L025)</t>
  </si>
  <si>
    <t>UT 03-19</t>
  </si>
  <si>
    <t>16.06.12</t>
  </si>
  <si>
    <t>30 Mtr. Span Steel Girder Bridge in Km 6 of Kunarbend to Ghesh M.Rd. (L025)</t>
  </si>
  <si>
    <t>UT 03-20</t>
  </si>
  <si>
    <t>30 Mtr. Span Steel Girder Bridge in Km 15 of Kunarbend to Ghesh Motor Road (L025)</t>
  </si>
  <si>
    <t>UT 03-21</t>
  </si>
  <si>
    <t>6,7</t>
  </si>
  <si>
    <t>36 Mtr. Span Steel Girder Bridge in Km 3 &amp; 15 of Panaisimi to Uttaron Motor Road (L026) (02 works)</t>
  </si>
  <si>
    <t>UT 03-22</t>
  </si>
  <si>
    <t>Ram Krishna Jyara</t>
  </si>
  <si>
    <t>Kanakchauri to Pongtha Motor Road, L031, Stage-I</t>
  </si>
  <si>
    <t>M/s AK Constt.</t>
  </si>
  <si>
    <t>21.06.12</t>
  </si>
  <si>
    <t>20.06.13</t>
  </si>
  <si>
    <t>ouHkwfe gLrkUrfjrA</t>
  </si>
  <si>
    <t xml:space="preserve">48 Mtr. Span Steel Girder Bridge at Km 4.00 of Simli to Sankot Motor Road, L032 </t>
  </si>
  <si>
    <t>Universal Associates</t>
  </si>
  <si>
    <t>36 Mtr. Span Steel Girder Bridge at Km 12.00 of Sarmola to Rano Motor Road, L028</t>
  </si>
  <si>
    <t>M/s Shail Sikhar Builders</t>
  </si>
  <si>
    <t>23.09.15</t>
  </si>
  <si>
    <t xml:space="preserve">36 Mtr. Span Steel Girder Bridge at Km 18.00 of Sarmola to Rano Motor Road, L028 </t>
  </si>
  <si>
    <t xml:space="preserve">24 Mtr. Span Steel Girder Bridge at Km 6.00 of Hapla to Dhotidhar Motor Road, L022 </t>
  </si>
  <si>
    <t xml:space="preserve">36 Mtr. Span Steel Girder Bridge at Km 24.00 of Udamanda to Rauta Motor Road </t>
  </si>
  <si>
    <t>KBM Constt.</t>
  </si>
  <si>
    <t>03.01.13</t>
  </si>
  <si>
    <t>01.01.14</t>
  </si>
  <si>
    <t xml:space="preserve">36 Mtr. Span Steel Girder Bridge at 28.00 of Udamanda to Rauta Motor Road, L029 </t>
  </si>
  <si>
    <t xml:space="preserve">18 Mtr. Span Steel Girder Bridge at Km 5.00 of Lalsi to Sartoli Motor Road, L028 </t>
  </si>
  <si>
    <t>Vijay Builders</t>
  </si>
  <si>
    <t>02.05.13</t>
  </si>
  <si>
    <t>01.07.14</t>
  </si>
  <si>
    <t xml:space="preserve">30 Mtr. Span Steel Girder Bridge at Km 4.00 of Lalsi to Sartoli Motor Road, L028 </t>
  </si>
  <si>
    <t xml:space="preserve">30 Mtr. Span Steel Girder Bridge at Km 5.00 (X-S 1-2) of Sagwara to Partha-Kuni Motor Road, L026 </t>
  </si>
  <si>
    <t>M/s KBM Constt.</t>
  </si>
  <si>
    <t>02.01.13</t>
  </si>
  <si>
    <t xml:space="preserve">30 Mtr. Span Steel Girder Bridge at Km 5.00 (X-S 8-9) of Sagwara to Partha-Kuni Motor Road, L026  </t>
  </si>
  <si>
    <t xml:space="preserve">48 Mtr. Span Steel Girder Bridge at Km 13.00 of Kandai to Pagna Motor Road, L030 </t>
  </si>
  <si>
    <t>02.01.14</t>
  </si>
  <si>
    <t xml:space="preserve">36 Mtr. Span Steel Girder Bridge at Km 4.00 of Marwari to Thaing Motor Road, L030 </t>
  </si>
  <si>
    <t>Brahma Constt.</t>
  </si>
  <si>
    <t>10.09.14</t>
  </si>
  <si>
    <t>09.09.15</t>
  </si>
  <si>
    <t>24 Mtr. Span Steel Girder Motor Bridge on Nandkeshri Gwaldam Motor Road Km 1.00 to  Jaula Motor Road in Km 9.00 (X-Sec 8/05-8/06)</t>
  </si>
  <si>
    <t>06.05.13</t>
  </si>
  <si>
    <t>05.02.14</t>
  </si>
  <si>
    <t>Kunar Bend to Ghes Motor Road, Stage-II</t>
  </si>
  <si>
    <t>Bharat Bhoomi Builders</t>
  </si>
  <si>
    <t>31.03.13</t>
  </si>
  <si>
    <t>30.03.14</t>
  </si>
  <si>
    <t xml:space="preserve">18 Mtr Span Steel Girder Bridge on Kunar Band to Ghes Motor Road in Km-25 </t>
  </si>
  <si>
    <t xml:space="preserve">18 Mtr Span Steel Girder Bridge on Kunar Band to Ghes Motor Road in Km-24 </t>
  </si>
  <si>
    <t>Narayanbagar-Karanprayag Motor Road Km 3 to Kimoli Motor Road, Stage-II</t>
  </si>
  <si>
    <t>RCC Developers</t>
  </si>
  <si>
    <t>07.12.13</t>
  </si>
  <si>
    <t>06.06.15</t>
  </si>
  <si>
    <t xml:space="preserve">Badeth to Pindwali Motor Road, Stage-II </t>
  </si>
  <si>
    <t>Satish Pandey</t>
  </si>
  <si>
    <t>04.05.13</t>
  </si>
  <si>
    <t>03.11.14</t>
  </si>
  <si>
    <t>Tharali to Kurad Motor Road, Stage-II (Including 12 Mtr. Span RCC T-Beam Bridge)</t>
  </si>
  <si>
    <t>24.06.13</t>
  </si>
  <si>
    <t>23.12.14</t>
  </si>
  <si>
    <t xml:space="preserve">Dungri to Ratgaon Motor Road, Stage-II </t>
  </si>
  <si>
    <t>05.05.14</t>
  </si>
  <si>
    <t>30.09.14</t>
  </si>
  <si>
    <t xml:space="preserve">Parkhal to Dungri Motor Road, Stage-II </t>
  </si>
  <si>
    <t>03.05.13</t>
  </si>
  <si>
    <t>02.08.14</t>
  </si>
  <si>
    <t>Upper Chamoli to Khenuri Motor Road, Stage-II</t>
  </si>
  <si>
    <t>RB Group &amp; Developers</t>
  </si>
  <si>
    <t>Thirpak to Kandai Motor Road, Stage-II</t>
  </si>
  <si>
    <t>Ram Narayan</t>
  </si>
  <si>
    <t>08.06.13</t>
  </si>
  <si>
    <t>07.09.14</t>
  </si>
  <si>
    <t>Udamanda to Rauta Motor Road, Stage-II</t>
  </si>
  <si>
    <t>28.06.13</t>
  </si>
  <si>
    <t>27.09.14</t>
  </si>
  <si>
    <t>Palsari to Bamiyala Motor Road, Stage-II</t>
  </si>
  <si>
    <t>Nabh Constt. &amp; Developers</t>
  </si>
  <si>
    <t>07.06.14</t>
  </si>
  <si>
    <t>Boragad to Chaul Motor Road, Stage-II</t>
  </si>
  <si>
    <t>MM Comstt.</t>
  </si>
  <si>
    <t>Sagwari to Parthakuni Motor Road, Stage-II</t>
  </si>
  <si>
    <t>Nandkeshri-Gwaldam Motor Road Km 1 to Jaula, Stage-II</t>
  </si>
  <si>
    <t>Lawani to Suya Motor Road, Stage-II</t>
  </si>
  <si>
    <t>Parwatiya Const.</t>
  </si>
  <si>
    <t>Simli to Sankot Motor Road, Stage-II</t>
  </si>
  <si>
    <t xml:space="preserve">48 Mtr Span Steel Girder Bridge on Ghes to Balan Motor Road in Km-8 </t>
  </si>
  <si>
    <t>Devendra Const.</t>
  </si>
  <si>
    <t>19.09.13</t>
  </si>
  <si>
    <t>30 Mtr. Span Steel Girder Bridge at Km 7 (Ch.6/1 to 6/3) of Nandkeshri-Gwaldam Motor Road to Jaula Motor Road</t>
  </si>
  <si>
    <t>14.11.13</t>
  </si>
  <si>
    <t>36 Mtr. Span Steel Girder Bridge at Km 7 (Ch.6/26 to 6/28) of Nandkeshri-Gwaldam Motor Road to Jaula Motor Road</t>
  </si>
  <si>
    <t>Surya Prakash Raturi</t>
  </si>
  <si>
    <t>28.07.14</t>
  </si>
  <si>
    <t>27.07.15</t>
  </si>
  <si>
    <t>36 Mtr. Span Steel Girder Bridge at Km 4 (Ch.3/36 to 3/38) of Nandkeshri-Gwaldam Motor Road to Jaula Motor Road</t>
  </si>
  <si>
    <t>28.11.13</t>
  </si>
  <si>
    <t>27.11.14</t>
  </si>
  <si>
    <t>30 Mtr. Span Steel Girder Bridge at Km 1 Simli to Sankot Motor Road</t>
  </si>
  <si>
    <t xml:space="preserve">48 Mtr Span Steel Girder Bridge on Kunar Band to Ghes Motor Road in Km-2 </t>
  </si>
  <si>
    <t>24 Mtr. Span Steel Girder Bridge on Narayan Bagar -Bhagoti Motor Road Km 8 to Gadseer Motor Road</t>
  </si>
  <si>
    <t>Yashpal Singh Negi</t>
  </si>
  <si>
    <t>Narayanbagar-Bhagoti Rd. Km 10 to Jhinjhoni Motor Road, Stage-I</t>
  </si>
  <si>
    <t>Raibareili Constt.</t>
  </si>
  <si>
    <t>25.03.16</t>
  </si>
  <si>
    <t>Narayanbagar-Bagoti Motor Road Km 8 to Gadseer  Motor Road, Stage-I</t>
  </si>
  <si>
    <t>Surendra Singh Negi</t>
  </si>
  <si>
    <t>Devaldhar (Diwagad) to Kandarikhor Motor Road, Stage-I</t>
  </si>
  <si>
    <t>26.06.15</t>
  </si>
  <si>
    <t>25.12.16</t>
  </si>
  <si>
    <t>Dungri Ratgaon Motor Road to Uprichakrat Gaon (Missing Link) Motor Road, Stage-I</t>
  </si>
  <si>
    <t>25.09.16</t>
  </si>
  <si>
    <t>Pokhari to Kandai Motor Road, Stage-I</t>
  </si>
  <si>
    <t>PIU</t>
  </si>
  <si>
    <t>Helong to Dumak Motor Road, Stage-I</t>
  </si>
  <si>
    <t>Mohankhal to Talli Kasnari Motor Road, Stage-I</t>
  </si>
  <si>
    <t>Helong-Lyari - Urgam (Devgram) Motor Road, Stage-I</t>
  </si>
  <si>
    <t>Naini I.C. to Dungri Motor Road, Stage-I</t>
  </si>
  <si>
    <t>Alam Singh Sah</t>
  </si>
  <si>
    <t>Kalsir to Gudam-Nail-Nauli-Kunji Motor Road, Stage-I</t>
  </si>
  <si>
    <t>UT 03-23</t>
  </si>
  <si>
    <t>Rains to Bhatiyana Motor Road, Stage-I</t>
  </si>
  <si>
    <t>UT 03-24</t>
  </si>
  <si>
    <t>Tender invited/ UF</t>
  </si>
  <si>
    <t>Pokhari to Gopeshwar Motor Road, Upgradation</t>
  </si>
  <si>
    <t>UT 03-26</t>
  </si>
  <si>
    <t>Chamoli to Palethi-Sartoli Motor Road, Upgradation</t>
  </si>
  <si>
    <t>UT 03-27</t>
  </si>
  <si>
    <t>Dream Real Infra Pvt. Ltd.</t>
  </si>
  <si>
    <t>25.08.14</t>
  </si>
  <si>
    <t>24.08.15</t>
  </si>
  <si>
    <t>Bagoli to Siri Motor Road, Stage-I&amp;II</t>
  </si>
  <si>
    <t>UT 03-28</t>
  </si>
  <si>
    <t>Jitender Kumar &amp; Company</t>
  </si>
  <si>
    <t>Kankhul Talla to Gwar Motor Road, Stage-I&amp;II</t>
  </si>
  <si>
    <t>UT 03-29</t>
  </si>
  <si>
    <t>Parvatiya Constt.</t>
  </si>
  <si>
    <t>04.08.14</t>
  </si>
  <si>
    <t>03.11.15</t>
  </si>
  <si>
    <t>Simdi Petrol Pump to Sainu Motor Road, Stage-I&amp;II</t>
  </si>
  <si>
    <t>UT 03-30</t>
  </si>
  <si>
    <t>Dunarghat to Dhanga Motor Road, Stage-I&amp;II</t>
  </si>
  <si>
    <t>UT 03-31</t>
  </si>
  <si>
    <t>Devendra Constt.</t>
  </si>
  <si>
    <t>17.12.15</t>
  </si>
  <si>
    <t>Sugar Band to Silpata Motor Road, Stage-I</t>
  </si>
  <si>
    <t>UT 03-32</t>
  </si>
  <si>
    <t>19.09.14</t>
  </si>
  <si>
    <t>18.03.16</t>
  </si>
  <si>
    <t>Gauchar to Damdha Motor Road, Stage-I</t>
  </si>
  <si>
    <t>UT 03-33</t>
  </si>
  <si>
    <t>Bungidhar Mehalchauri to Bachhuwaban Motor Road, Upgradation</t>
  </si>
  <si>
    <t>UT 03-34</t>
  </si>
  <si>
    <t>27.01.16</t>
  </si>
  <si>
    <t>Sarmaula to Rano Motor Road, Stage-II</t>
  </si>
  <si>
    <t>14.08.15</t>
  </si>
  <si>
    <t>13.02.17</t>
  </si>
  <si>
    <t>Lwani to Ghuni Motor Road, Stage-II</t>
  </si>
  <si>
    <t>Nabh Const. &amp; Developer Pvt. Ltd</t>
  </si>
  <si>
    <t>04.01.16</t>
  </si>
  <si>
    <t>Kandai to Pagna Motor Road, Stage-II</t>
  </si>
  <si>
    <t>fpUdkfpuk Fkqokee fley[ksr eksVj ekxZ fdeh0 10&amp;13-50</t>
  </si>
  <si>
    <t>UT 04-01</t>
  </si>
  <si>
    <t>Lohaghat</t>
  </si>
  <si>
    <t>fpUdkfpuk Fkqokee fley[ksr eksVj ekxZ fdeh0 13-50 &amp; 18-00</t>
  </si>
  <si>
    <t>UT 04-02</t>
  </si>
  <si>
    <t>iV~Vh esgjksyh eksVj ekxZ</t>
  </si>
  <si>
    <t>UT 04-03</t>
  </si>
  <si>
    <t xml:space="preserve">pksjkfiV~Vk rkfyM+h eksVj ekxZ </t>
  </si>
  <si>
    <t>UT 04-04</t>
  </si>
  <si>
    <t xml:space="preserve">pksesy&amp;okylks eksVj ekxZ </t>
  </si>
  <si>
    <t>/kkSu &amp; /;wjh eksVj ekxZ fdeh0 1&amp;8</t>
  </si>
  <si>
    <t>30/11/07</t>
  </si>
  <si>
    <t>jkslky ls Mqaxjkcksjk pdflydksV eksVj ekxZ fdeh0 1&amp;5</t>
  </si>
  <si>
    <t>31/12/05</t>
  </si>
  <si>
    <t>jkSlky ls Mqaxjkcksjk pdflydksV ekxZ fdeh0 5&amp;10</t>
  </si>
  <si>
    <t>UT 04-05</t>
  </si>
  <si>
    <t>30/06/07</t>
  </si>
  <si>
    <t xml:space="preserve">jSaxycS.M ls ewykdksV eksVj ekxZ </t>
  </si>
  <si>
    <t>UT 04-06</t>
  </si>
  <si>
    <t>31/05/05</t>
  </si>
  <si>
    <t>pEikor&amp;[ksrh[kku eksVj ekxZ fdeh0 130 ls xkSlkuh</t>
  </si>
  <si>
    <t xml:space="preserve">/kkSu &amp; /;wjh eksVj ekxZ fdeh0 6-5&amp;15 </t>
  </si>
  <si>
    <t>Shabbir Ahmad &amp; Sons.</t>
  </si>
  <si>
    <t>22.10.08</t>
  </si>
  <si>
    <t>21.10.09</t>
  </si>
  <si>
    <t>21.03.11</t>
  </si>
  <si>
    <t xml:space="preserve">ih0Mh0,y0 eksVj ekxZ ls lyuk dukdksV eksVj ekxZ </t>
  </si>
  <si>
    <t>UT 04- 01</t>
  </si>
  <si>
    <t>20.08.05</t>
  </si>
  <si>
    <t>19.05.06</t>
  </si>
  <si>
    <t>31.12.06</t>
  </si>
  <si>
    <t>fyiqys[k fHk.M ekxZ fdeh0 329 ls ipi[kfj;k</t>
  </si>
  <si>
    <t>ugha iM+rhA</t>
  </si>
  <si>
    <t>okfyd ls xkxj eksVj ekxZ</t>
  </si>
  <si>
    <t>03.05.06</t>
  </si>
  <si>
    <t>30.09.07</t>
  </si>
  <si>
    <t>ekaMyd ik.Ms ls lsyiM+ eksVj ekxZ</t>
  </si>
  <si>
    <t>M/s Satish Chandra Pandey</t>
  </si>
  <si>
    <t>18.05.07</t>
  </si>
  <si>
    <t>17.05.08</t>
  </si>
  <si>
    <t>31.05.08</t>
  </si>
  <si>
    <t>Fkqokequh ls clcy okjh eksVj ekxZ</t>
  </si>
  <si>
    <t xml:space="preserve">M/s Hillways Engg. </t>
  </si>
  <si>
    <t>19.05.07</t>
  </si>
  <si>
    <t>18.05.08</t>
  </si>
  <si>
    <t>31.08.10</t>
  </si>
  <si>
    <t>pEikor [kjdkdhZ ls eqfM;kuh eksVj ekxZ</t>
  </si>
  <si>
    <t>29.06.07</t>
  </si>
  <si>
    <t>28.06.08</t>
  </si>
  <si>
    <t>cxksVh ls Mqaxjkysrh eksVj ekxZ</t>
  </si>
  <si>
    <t>M/s Parvatiya Constt.</t>
  </si>
  <si>
    <t>30.06.09</t>
  </si>
  <si>
    <t>Mwaxjkcksjk&amp;d;ky ekxZ fdeh0&amp;1 ls efV;kuh eksVj ekxZ</t>
  </si>
  <si>
    <t>17.05.07</t>
  </si>
  <si>
    <t>16.05.08</t>
  </si>
  <si>
    <t>nwu?kkV fHkaxjk ls [kjgh eksVj ekxZ</t>
  </si>
  <si>
    <t>29.05.07</t>
  </si>
  <si>
    <t>03.12.08</t>
  </si>
  <si>
    <t>pEikor eap ls uhM+ eksVj ekxZ</t>
  </si>
  <si>
    <t>UT 04-07</t>
  </si>
  <si>
    <t>04.12.07</t>
  </si>
  <si>
    <t>gkje ls jkesyk eksVj ekxZ</t>
  </si>
  <si>
    <t>UT 04-08</t>
  </si>
  <si>
    <t>M/s Grifcom Infrastructure</t>
  </si>
  <si>
    <t>28.05.08</t>
  </si>
  <si>
    <t>clcyokM+h ls tudk.Ms&amp; tk[k eksVj ekxZ</t>
  </si>
  <si>
    <t>Shri Harish Chandra Nariyal</t>
  </si>
  <si>
    <t>16.10.08</t>
  </si>
  <si>
    <t>15.06.11</t>
  </si>
  <si>
    <t>oUrksyh ls /;kjrksyh eksVj ekxZ</t>
  </si>
  <si>
    <t>Shri M.S. Dhek</t>
  </si>
  <si>
    <t>21.05.08</t>
  </si>
  <si>
    <t>freykxwaB ls lyksjhxwaB eksVj ekxZ</t>
  </si>
  <si>
    <t>19.10.12</t>
  </si>
  <si>
    <t>,l,p&amp;29 Vudiqj&amp;rok?kkV ekxZ ls cijkrYyk eksVj ekxZ</t>
  </si>
  <si>
    <t xml:space="preserve">M/s Om Construction </t>
  </si>
  <si>
    <t>31.05.09</t>
  </si>
  <si>
    <t>dqfy;kyxkao ls lky eksVj ekxZ</t>
  </si>
  <si>
    <t>15.12.10</t>
  </si>
  <si>
    <t>pkSesy ls okylks eksVj ekxZ feflax fyad LVst&amp;1 ,oa 2</t>
  </si>
  <si>
    <t>,l,p&amp;29 ls [krksyh eYyh eksVj ekxZ</t>
  </si>
  <si>
    <t>05.06.10</t>
  </si>
  <si>
    <t>jhBklkfgc ls jed eksVj ekxZ</t>
  </si>
  <si>
    <t>M/s Hillways Constt. Co.</t>
  </si>
  <si>
    <t>09.02.11</t>
  </si>
  <si>
    <t>08.08.12</t>
  </si>
  <si>
    <t>28.02.15</t>
  </si>
  <si>
    <t>ckjkdksV fle[ksr ls iM+klkslsjk eksVj ekxZ</t>
  </si>
  <si>
    <t>Shri Satish Chandra Pandey</t>
  </si>
  <si>
    <t>05.01.10</t>
  </si>
  <si>
    <t>pkSM+kfirk ls ijsok eksVj ekxZ</t>
  </si>
  <si>
    <t>04.06.11</t>
  </si>
  <si>
    <t>fderksyh ls eYyk [krsM+k eksVj ekxZ</t>
  </si>
  <si>
    <t>Shri Yogeh Mehta</t>
  </si>
  <si>
    <t>04.10.10</t>
  </si>
  <si>
    <t>/kkSu ls lYYkh eksVj ekxZ</t>
  </si>
  <si>
    <t>M/s Parwatiya Construction</t>
  </si>
  <si>
    <t>26.06.10</t>
  </si>
  <si>
    <t>25.12.11</t>
  </si>
  <si>
    <t>dqysFkh jl;kM+k ls &lt;duk cM+ksyk eksVj ekxZ</t>
  </si>
  <si>
    <t>M/s Om Constt.</t>
  </si>
  <si>
    <t>30.09.11</t>
  </si>
  <si>
    <t>ouHkwfe ugha iM+rhA</t>
  </si>
  <si>
    <t>veksM+h ls NrdksV eksVj ekxZ</t>
  </si>
  <si>
    <t>UT 04-09</t>
  </si>
  <si>
    <t>Girdhar Singh</t>
  </si>
  <si>
    <t>25.05.14</t>
  </si>
  <si>
    <t>24.05.15</t>
  </si>
  <si>
    <t>l;kyk ls iksFk eksVj ekxZ</t>
  </si>
  <si>
    <t>UT 04-10</t>
  </si>
  <si>
    <t>SKT Buildcon Pvt. Ltd.</t>
  </si>
  <si>
    <t>02.03.15</t>
  </si>
  <si>
    <t>01.06.16</t>
  </si>
  <si>
    <t>lS)kfUrdA</t>
  </si>
  <si>
    <t xml:space="preserve">70 Mtr. Span Steel Girder Bridge at Km 2 of SH29 to Khatoli Malli Motor Road, L037 </t>
  </si>
  <si>
    <t>Jai Bhawani Constt.</t>
  </si>
  <si>
    <t>27.05.14</t>
  </si>
  <si>
    <t>26.05.15</t>
  </si>
  <si>
    <t>36 Mtr. Span Steel Girder Bridge of Chaurapitta to Parewa Motor Road</t>
  </si>
  <si>
    <t>42 Mtr. Span Steel Girder Bridge of Chaurapitta to Parewa Motor Road</t>
  </si>
  <si>
    <t>PDL Road Salna to Kanakot Motor Road, Stage-II</t>
  </si>
  <si>
    <t>Lipulekh Bhind to Panchpakhariya Motor Road, Stage-II</t>
  </si>
  <si>
    <t>Deepak Kapri</t>
  </si>
  <si>
    <t>21.06.13</t>
  </si>
  <si>
    <t>Walik to Gagar Motor Road, Stage-II</t>
  </si>
  <si>
    <t>03.09.14</t>
  </si>
  <si>
    <t>Vantoli to Dyartoli Motor Road, Stage-II</t>
  </si>
  <si>
    <t>03.06.13</t>
  </si>
  <si>
    <t>02.06.14</t>
  </si>
  <si>
    <t>Timtagunth to Silyorigunth Motor Road, Stage-II</t>
  </si>
  <si>
    <t>Doonaghat Bhingara to Kharhi Motor Road, Stage-II</t>
  </si>
  <si>
    <t>02.09.14</t>
  </si>
  <si>
    <t>Champawat Munch to Neerh Motor Road, Stage-II</t>
  </si>
  <si>
    <t>BC Mishra</t>
  </si>
  <si>
    <t>02.12.13</t>
  </si>
  <si>
    <t>01.12.14</t>
  </si>
  <si>
    <t>Thuwamoni to Bansbaswari Motor Road, Stage-II</t>
  </si>
  <si>
    <t>14.10.14</t>
  </si>
  <si>
    <t>Champawat-Kharkarki to Mudiyani Motor Road, Stage-II</t>
  </si>
  <si>
    <t>21.10.16</t>
  </si>
  <si>
    <t>Bagoti to Dungraleti Motor Road, Stage-II</t>
  </si>
  <si>
    <t>Mandlekpandey to Selpar Motor Road, Stage-II</t>
  </si>
  <si>
    <t>M/s Barahi Const.</t>
  </si>
  <si>
    <t>29.10.13</t>
  </si>
  <si>
    <t>28.10.14</t>
  </si>
  <si>
    <t>Dungrabora-Kayal Km 1 to Matiyani Motor Road, Stage-II</t>
  </si>
  <si>
    <t>Jai Bharat Constt. JV</t>
  </si>
  <si>
    <t>20.03.15</t>
  </si>
  <si>
    <t>Haram to Ramaila Motor Road, Stage-II</t>
  </si>
  <si>
    <t>11.12.13</t>
  </si>
  <si>
    <t>Kulethi-Rasyara to Dhakana-Badola Motor Road, Stage-II</t>
  </si>
  <si>
    <t>Roop Singh Kathyat</t>
  </si>
  <si>
    <t>22.05.16</t>
  </si>
  <si>
    <t>Kimtoli to Malla Khetra Motor Road, Stage-II</t>
  </si>
  <si>
    <t>Laxmi Dutt Binwal</t>
  </si>
  <si>
    <t>03.03.14</t>
  </si>
  <si>
    <t>R;wuh pdjkrk eksVj ekxZ fdeh0 136&amp;155</t>
  </si>
  <si>
    <t>UT 05-01</t>
  </si>
  <si>
    <t>Chakrata</t>
  </si>
  <si>
    <t>Kalsi</t>
  </si>
  <si>
    <t>pdjkrk yk[kke.My eksVj ekxZ fdeh0 61&amp;66</t>
  </si>
  <si>
    <t>R;wuh dfFk;ku eksVj ekxZ fdeh0 16&amp;32</t>
  </si>
  <si>
    <t>Mk.Mk y[kkS.M eksVj ekxZ</t>
  </si>
  <si>
    <t>UT 05-02</t>
  </si>
  <si>
    <t>Raipur</t>
  </si>
  <si>
    <t xml:space="preserve">eksFkjksokyk Mk.Mh eksVj ekxZ </t>
  </si>
  <si>
    <t>Doiwala</t>
  </si>
  <si>
    <t>Hkksxiqj [kksM+lh eksVj ekxZ</t>
  </si>
  <si>
    <t>Rishikesh</t>
  </si>
  <si>
    <t xml:space="preserve">eksFkjksokyk nw/kyh eksVj ekxZ </t>
  </si>
  <si>
    <t xml:space="preserve">Fkkuks /kkjdksV eksVj ekxZ </t>
  </si>
  <si>
    <t>UT 05-03</t>
  </si>
  <si>
    <t>ekynsork ls }kjk ekxZ fdeh0 1&amp;6</t>
  </si>
  <si>
    <t>30/03/07</t>
  </si>
  <si>
    <t>gksjkokyk dksVh &lt;ykuh ekxZ ls &lt;ykuh</t>
  </si>
  <si>
    <t>Sahaspur</t>
  </si>
  <si>
    <t>30/04/05</t>
  </si>
  <si>
    <t xml:space="preserve">eqU'kh?kkVh &amp; /;ksjk ekxZ </t>
  </si>
  <si>
    <t>Vikasnagar</t>
  </si>
  <si>
    <t>31/05/04</t>
  </si>
  <si>
    <t xml:space="preserve">lfg;k&amp;mRikYVk ekxZ </t>
  </si>
  <si>
    <t>UT 05-04</t>
  </si>
  <si>
    <t>28/11/03</t>
  </si>
  <si>
    <t xml:space="preserve">R;wuh dfFk;ku ekxZ ls Qukj eksVj ekxZ </t>
  </si>
  <si>
    <t>UT 05-05</t>
  </si>
  <si>
    <t>31/10/06</t>
  </si>
  <si>
    <t xml:space="preserve">ekynsork ls }kjk eksVj ekxZ fdeh0 7&amp;12 </t>
  </si>
  <si>
    <t>UT 05-06</t>
  </si>
  <si>
    <t>28/02/06</t>
  </si>
  <si>
    <t xml:space="preserve">ekynsork &amp; }kjk ekxZ ds fdeh0&amp;1 ij 48eh0 Liku ds lsrq dk fuekZ.k </t>
  </si>
  <si>
    <t>UT 05-07</t>
  </si>
  <si>
    <t>30/08/07</t>
  </si>
  <si>
    <t xml:space="preserve">yka?kk ls fcUgkj eksVj ekxZ </t>
  </si>
  <si>
    <t>M/s Akash Ganga</t>
  </si>
  <si>
    <t>28.10.06</t>
  </si>
  <si>
    <t>27.10.07/
(31.12.09)</t>
  </si>
  <si>
    <t xml:space="preserve">ekynsork&amp;lsjdh&amp;flYyk ekxZ </t>
  </si>
  <si>
    <t>M/s Yamuna Nirman</t>
  </si>
  <si>
    <t> 09.06.05</t>
  </si>
  <si>
    <t>08.06.06/
(31.12.08)</t>
  </si>
  <si>
    <t>31.10.08</t>
  </si>
  <si>
    <t>pdjkrk yk[kke.My ekxZ ls ykoM+h /krjksM+k eksVj ekxZ</t>
  </si>
  <si>
    <t>12.05.06</t>
  </si>
  <si>
    <t>11.05.07</t>
  </si>
  <si>
    <t>vVky ls lSat eksVj ekxZ</t>
  </si>
  <si>
    <t>M/s Shiv Shankar Constt. Co.</t>
  </si>
  <si>
    <t>24.06.09</t>
  </si>
  <si>
    <t>ihijk ehul ekxZ ds fdeh0&amp;5 ls ck;yk eksVj ekxZ</t>
  </si>
  <si>
    <t>Sanjay Constt./ AK Constt.</t>
  </si>
  <si>
    <t>18.10.08</t>
  </si>
  <si>
    <t>31.06.11</t>
  </si>
  <si>
    <t>guksy ls pkrjk eksVj ekxZ</t>
  </si>
  <si>
    <t>M/s Uttaranchal Engineers</t>
  </si>
  <si>
    <t>12.03.08</t>
  </si>
  <si>
    <t>11.03.09</t>
  </si>
  <si>
    <t>yks[kaMh fVCck ls yksgkjh eksVj ekxZ</t>
  </si>
  <si>
    <t>iftVhykuh ls fNcÅ [kejksyh eksVj ekxZ</t>
  </si>
  <si>
    <t>M/s Gambhir Singh</t>
  </si>
  <si>
    <t>08.07.07</t>
  </si>
  <si>
    <t>07.07.08</t>
  </si>
  <si>
    <t>pdjkrk&amp;elwjh ekxZ fdeh0&amp;72 ls g;ks Vxjh eksVj ekxZ</t>
  </si>
  <si>
    <t>24.07.08</t>
  </si>
  <si>
    <t>23.07.09</t>
  </si>
  <si>
    <t>R;wuh&amp;dfFk;ku ekxZ ls Qukj eksVj ekxZ dk Qukj rd foLrkj ¼feflax fyad½</t>
  </si>
  <si>
    <t>19.03.08</t>
  </si>
  <si>
    <t>ts0ih0vkj0vkj0 ekxZ fdeh0 156 ls jMw ls equ/kksy eksVj ekxZ</t>
  </si>
  <si>
    <t>29.12.06</t>
  </si>
  <si>
    <t>28.12.07</t>
  </si>
  <si>
    <t>lfg;k&amp;Dokuw ekxZ ds fdeh0&amp;19 ls eysFkk eksVj ekxZ</t>
  </si>
  <si>
    <t>UT 05-08</t>
  </si>
  <si>
    <t>M/s Ajab Singh Rana &amp; Bros.</t>
  </si>
  <si>
    <t>QqysFk ls D;kjk eksVj ekxZ</t>
  </si>
  <si>
    <t>UT 05-09</t>
  </si>
  <si>
    <t>15.11.07</t>
  </si>
  <si>
    <t>14.11.08</t>
  </si>
  <si>
    <t>31.12.10</t>
  </si>
  <si>
    <t>ts0ih0vkj0vkj0&amp;jk;xh ekxZ ls dqYgk eksVj ekxZ</t>
  </si>
  <si>
    <t>UT 05-10</t>
  </si>
  <si>
    <t>01.06.07</t>
  </si>
  <si>
    <t>fdekM+h ls fj[kksyh eksVj ekxZ</t>
  </si>
  <si>
    <t>UT 05-11</t>
  </si>
  <si>
    <t>Mussoorie</t>
  </si>
  <si>
    <t>gksjkokyk&amp;dksVh&amp;&lt;ykuh eksVj ekxZ dk vkjfEHkd Hkkx ¼feflax fyad½</t>
  </si>
  <si>
    <t>UT 05-12</t>
  </si>
  <si>
    <t>pdjkrk&amp;yk[kke.My ekxZ fdeh0&amp;38 ls [kkjlh eksVj ekxZ</t>
  </si>
  <si>
    <t>UT 05-13</t>
  </si>
  <si>
    <t>M/s Six Munal Constt.</t>
  </si>
  <si>
    <t>lglz/kkjk ls pkeklkjh eksVj ekxZ</t>
  </si>
  <si>
    <t>UT 05-14</t>
  </si>
  <si>
    <t>31.07.09</t>
  </si>
  <si>
    <t>pdjkrk&amp;R;wuh eksVj ekxZ ls ckuk&amp;fpYgkM+ eksVj ekxZ</t>
  </si>
  <si>
    <t>UT 05-15</t>
  </si>
  <si>
    <t>M/s RN Bijalwan</t>
  </si>
  <si>
    <t>ts0ih0vkj0vkj0 eksVj ekxZ fdeh0&amp;158 ls jk;xh eksVj ekxZ</t>
  </si>
  <si>
    <t>UT 05-16</t>
  </si>
  <si>
    <t>28.03.07</t>
  </si>
  <si>
    <t>27.03.08</t>
  </si>
  <si>
    <t>Npok[ksM+k ¼LokM+k½ ls Mqaxjh eksVj ekxZ</t>
  </si>
  <si>
    <t>Shri Mahendra Singh</t>
  </si>
  <si>
    <t>28.02.10</t>
  </si>
  <si>
    <t>31.08.12</t>
  </si>
  <si>
    <t>D;kjkiqy ¼MkeVk½ ls dksVk e;wUMk eksVj ekxZ</t>
  </si>
  <si>
    <t>15.05.08</t>
  </si>
  <si>
    <t>31.07.12</t>
  </si>
  <si>
    <t>lfg;k ls lekYVk&amp;MMksyh&amp; eljkM+ eksVj ekxZ</t>
  </si>
  <si>
    <t>foRrh; ewY;kadu esaA</t>
  </si>
  <si>
    <t>Km 18.00 of MDR 33 to Sawai Motor Road, (L025)</t>
  </si>
  <si>
    <t>10.05.12</t>
  </si>
  <si>
    <t>09.02.13</t>
  </si>
  <si>
    <t>Maldevta to Serki Silla Motor Road, Stage-II (L027)</t>
  </si>
  <si>
    <t>Kay Kay Constt.</t>
  </si>
  <si>
    <t>22.05.12</t>
  </si>
  <si>
    <t>Chakrata-Lakhamandal Road to Lawari-Dhatrota Motor Road, Stage-II (L038)</t>
  </si>
  <si>
    <t>Yamuna Nirman</t>
  </si>
  <si>
    <t>Chakrata Tyuni Road to Bana-Chillarh Motor Road,  Stage-II (L050)</t>
  </si>
  <si>
    <t>AR Thermosets</t>
  </si>
  <si>
    <t>Sahastradhara Road to Chamasari Motor Road, Stage-II (L022)</t>
  </si>
  <si>
    <t>Technical Consultants</t>
  </si>
  <si>
    <t>31.05.12</t>
  </si>
  <si>
    <t>Sahiya-Kwanu Motor Road Km 19 to Maletha Motor Road, Stage-II (L060)</t>
  </si>
  <si>
    <t>Ajab Singh Rana</t>
  </si>
  <si>
    <t>27.05.12</t>
  </si>
  <si>
    <t>Panduwala to Mommadpur Bakali Motor Road, Stage-I &amp; II</t>
  </si>
  <si>
    <t>12.07.13</t>
  </si>
  <si>
    <t>11.07.14</t>
  </si>
  <si>
    <t>Langha to Bhinar Motor Road, Stage-II</t>
  </si>
  <si>
    <t>Ekta Constt.</t>
  </si>
  <si>
    <t>27.06.13</t>
  </si>
  <si>
    <t>11.06.14</t>
  </si>
  <si>
    <t>Fuleth to Kyara Motor Road, Stage-II</t>
  </si>
  <si>
    <t>12.12.13</t>
  </si>
  <si>
    <t>11.12.14</t>
  </si>
  <si>
    <t>Hanol to Chatra Motor Road, Stage-II</t>
  </si>
  <si>
    <t>Ajab Singh Rana &amp; Bros.</t>
  </si>
  <si>
    <t>22.05.13</t>
  </si>
  <si>
    <t>21.05.14</t>
  </si>
  <si>
    <t>Kyarapul-Damta-Kota-Myunda Motor Road, Stage-II</t>
  </si>
  <si>
    <t>Mathiyan Constt.</t>
  </si>
  <si>
    <t>23.05.13</t>
  </si>
  <si>
    <t>22.08.14</t>
  </si>
  <si>
    <t>Horrawala-Koti-Dhalani Motor Road, Stage-II</t>
  </si>
  <si>
    <t>Gambhir Singh</t>
  </si>
  <si>
    <t>11.04.14</t>
  </si>
  <si>
    <t>Kimari to Rikholi Motor Road, Stage-II</t>
  </si>
  <si>
    <t>Sompal Singh</t>
  </si>
  <si>
    <t>18.07.13</t>
  </si>
  <si>
    <t>17.04.14</t>
  </si>
  <si>
    <t>Tyuni-Kathiyal Rd. to Fanar Motor Road (MissingLink),Stage-II</t>
  </si>
  <si>
    <t>JPRR Rd. Km 158 to Raigi Motor Road, Stage-II</t>
  </si>
  <si>
    <t>Tikam Singh Rana</t>
  </si>
  <si>
    <t>27.05.13</t>
  </si>
  <si>
    <t>JPRR - Raigi to Kulaha Motor Road, Stage-II</t>
  </si>
  <si>
    <t>Rajbeer Singh Rana</t>
  </si>
  <si>
    <t>17.05.13</t>
  </si>
  <si>
    <t>16.05.14</t>
  </si>
  <si>
    <t>Atal to Sainj Motor Road, Stage-II</t>
  </si>
  <si>
    <t>BBH Constt.</t>
  </si>
  <si>
    <t>20.06.14</t>
  </si>
  <si>
    <t>JPRR Rd. Km 156 to Radu-Mundhol Motor Road, Stage-II</t>
  </si>
  <si>
    <t>22.06.13</t>
  </si>
  <si>
    <t>21.09.14</t>
  </si>
  <si>
    <t>Chachhwakhera (Sawara) to Dungri Motor Road, Stage-II</t>
  </si>
  <si>
    <t>27.08.14</t>
  </si>
  <si>
    <t>26.11.15</t>
  </si>
  <si>
    <t>Lokhandi Tibba to Lohari Motor Road, Stage-II</t>
  </si>
  <si>
    <t>Amit Joshi JV</t>
  </si>
  <si>
    <t>21.10.13</t>
  </si>
  <si>
    <t>20.10.14</t>
  </si>
  <si>
    <t>Km 10.50 of L042 to Saradi Link Motor Road, Stage-I</t>
  </si>
  <si>
    <t>Fin. Ev./ 
ADB issue</t>
  </si>
  <si>
    <t>Lelta Link Road to Mundoli Motor Road, Stage-I&amp;II</t>
  </si>
  <si>
    <t>Anshuman Const.</t>
  </si>
  <si>
    <t>Kharsi to Khatuwa Motor Road, Stage-I</t>
  </si>
  <si>
    <t>Soda-Saroli to Akhaondwali Bhilang Motor Road, Stage-I</t>
  </si>
  <si>
    <t>Magti Pokhari to Marb Khora Motor Road, Stage-I&amp;II</t>
  </si>
  <si>
    <t>Kotha Tarli to Umrau Motor Road, Stage-I&amp;II</t>
  </si>
  <si>
    <t>UT 05-17</t>
  </si>
  <si>
    <t>26.02.15</t>
  </si>
  <si>
    <t>25.08.16</t>
  </si>
  <si>
    <t>Silikhand to Kunanu (Kunain) Motor Road, Stage-I&amp;II</t>
  </si>
  <si>
    <t>UT 05-19</t>
  </si>
  <si>
    <t>27.02.16</t>
  </si>
  <si>
    <t>Chakrata to Mangrauli Motor Road, Stage-I&amp;II</t>
  </si>
  <si>
    <t>UT 05-21</t>
  </si>
  <si>
    <t>Maindrath-Birnad-Kathiyan Rd. Km 5 to Purtad Motor Road, Stage-I</t>
  </si>
  <si>
    <t>UT 05-22</t>
  </si>
  <si>
    <t>Tyuni-Arakot-Shimla Rd. Km 10 to Banpur Motor Road, Stage-I</t>
  </si>
  <si>
    <t>UT 05-23</t>
  </si>
  <si>
    <t>Kharsi Link Km 5.00 to Kandar Motor Road, Stage-I</t>
  </si>
  <si>
    <t>UT 05-24</t>
  </si>
  <si>
    <t>Kyarapul to Damta Mayunda (Missing Link) Motor Road, Stage-I&amp;II</t>
  </si>
  <si>
    <t>UT 05-25</t>
  </si>
  <si>
    <t>Silikhand-Kunain Rd. Km 5 to Sainj Motor Road, Stage-I</t>
  </si>
  <si>
    <t>UT 05-26</t>
  </si>
  <si>
    <t>Work Awarded/ UF</t>
  </si>
  <si>
    <t>Kanda Band to Kanda Tyutad Motor Road, Stage-I</t>
  </si>
  <si>
    <t>UT 05-27</t>
  </si>
  <si>
    <t>Daman to Desau Motor Road, Stage-I</t>
  </si>
  <si>
    <t>UT 05-28</t>
  </si>
  <si>
    <t>Kothaband to Pajiya Motor Road, Stage-I</t>
  </si>
  <si>
    <t>UT 05-29</t>
  </si>
  <si>
    <t>Dheora to Devou Motor Road, Stage-I&amp;II</t>
  </si>
  <si>
    <t>01.10.14</t>
  </si>
  <si>
    <t>31.12.15</t>
  </si>
  <si>
    <t>Mussoorie-Chakrata Road Km-72 (Purodi) to Hayotagri Motor Road, Stage-II</t>
  </si>
  <si>
    <t>18.05.15</t>
  </si>
  <si>
    <t>17.08.16</t>
  </si>
  <si>
    <t>Kothaband to Sainj Chandau Motor Road, Stage-I&amp;II</t>
  </si>
  <si>
    <t>Kavindra Kumar</t>
  </si>
  <si>
    <t>27.04.15</t>
  </si>
  <si>
    <t>26.04.16</t>
  </si>
  <si>
    <t>Bisoglani to Gothanjoshi-Hamrau Motor Road, Stage-I&amp;II</t>
  </si>
  <si>
    <t>26.08.15</t>
  </si>
  <si>
    <t>Pajitilani (Khotha Band) to Chibau Khamrolli Motor Road, Stage-II</t>
  </si>
  <si>
    <t>26.07.16</t>
  </si>
  <si>
    <t>Kotha Band to Aara Motor Road, Stage-I&amp;II</t>
  </si>
  <si>
    <t>UT 05-18</t>
  </si>
  <si>
    <t>Kathiyan Hajad to Bhoot Motor Road, Stage-I&amp;II</t>
  </si>
  <si>
    <t>UT 05-20</t>
  </si>
  <si>
    <t>25.05.16</t>
  </si>
  <si>
    <t xml:space="preserve">eqjknkckn nsgjknwu ls dkaxM+h eksVj ekxZ </t>
  </si>
  <si>
    <t>UT 06-01</t>
  </si>
  <si>
    <t>Haridwar Gramin</t>
  </si>
  <si>
    <t xml:space="preserve">eqjknkckn nsgjknwu ls x+kt+hokyk eksVj ekxZ </t>
  </si>
  <si>
    <t xml:space="preserve">eqjknkckn nsgjknwu ls lktuiqjfiYyh eksVj ekxZ </t>
  </si>
  <si>
    <t xml:space="preserve">jk;t+ fxokokyh eksVj ekxZ </t>
  </si>
  <si>
    <t>Laksar</t>
  </si>
  <si>
    <t xml:space="preserve">Mkykokyk ls tksxkokyk eksVj ekxZ </t>
  </si>
  <si>
    <t>Khanpur</t>
  </si>
  <si>
    <t>vdcjiqj ykBM+nsok ekxZ ls uwjiqj</t>
  </si>
  <si>
    <t>Jhabreda</t>
  </si>
  <si>
    <t>cM+sM+h flfy;j MkaMsjh ekxZ ls fdYgkuiqj</t>
  </si>
  <si>
    <t>UT 06-02</t>
  </si>
  <si>
    <t>Roorkee</t>
  </si>
  <si>
    <t xml:space="preserve">vklQuxj bd+ckyiqj ekxZ ls iMyhxkSaMk ekxZ </t>
  </si>
  <si>
    <t>Bhagwanpur</t>
  </si>
  <si>
    <t xml:space="preserve">jk;iqj jsxkgVh ekxZ </t>
  </si>
  <si>
    <t xml:space="preserve">bLekbyiqj ekxZ ls vkSaliqj ekxZ </t>
  </si>
  <si>
    <t xml:space="preserve">iqjoky?kkV ls iqjokyk Hkjaxiqj ekxZ </t>
  </si>
  <si>
    <t xml:space="preserve">iqjokyk ls ijrkiqj ekxZ </t>
  </si>
  <si>
    <t xml:space="preserve">et+kfgniqj lrhokyk ls ykyokyk </t>
  </si>
  <si>
    <t>UT 06-03</t>
  </si>
  <si>
    <t>fcgkjhx&lt;+ Fkkiy ekxZ ls glukokyk</t>
  </si>
  <si>
    <t xml:space="preserve">/khjektjk ls nfj;kiqj n;kyiqj ekxZ </t>
  </si>
  <si>
    <t xml:space="preserve">eqjknkckn&amp;nsgjknwu ekxZ ls nq/kokn;kyiqj ekxZ </t>
  </si>
  <si>
    <t>31/12/03</t>
  </si>
  <si>
    <t>fnYyh&amp;ek.kk ekxZ ls l&lt;kSyk</t>
  </si>
  <si>
    <t>Manglaur</t>
  </si>
  <si>
    <t>fldjksM+k ekxZ ls :ykgsM+h</t>
  </si>
  <si>
    <t xml:space="preserve">nsgjknwu&amp;eqjknkckn ekxZ ls ihyhiM+ko </t>
  </si>
  <si>
    <t>28/03/04</t>
  </si>
  <si>
    <t xml:space="preserve">vklQuxj bd+ckyiqj ekxZ ls ghjkgsM+h ekxZ </t>
  </si>
  <si>
    <t xml:space="preserve">xkso)Zuiqj ls ektjh ekxZ </t>
  </si>
  <si>
    <t>30/01/04</t>
  </si>
  <si>
    <t xml:space="preserve">eqjknkckn&amp;nsgjknwu ekxZ ls ygniqj </t>
  </si>
  <si>
    <t>vykoiqj&amp;ihriqj ekxZ ls ulhjiqj</t>
  </si>
  <si>
    <t>yDlj&amp;Tokykiqj ekxZ ls uxykfdrkc</t>
  </si>
  <si>
    <t>eaxykSj ekxZ ls lhdj</t>
  </si>
  <si>
    <t xml:space="preserve">dVkjiqj ls Qs:iqj ekxZ </t>
  </si>
  <si>
    <t>UT 06-04</t>
  </si>
  <si>
    <t xml:space="preserve">vyhiqj ls bczkgheiqj ekxZ </t>
  </si>
  <si>
    <t>Jwalapur</t>
  </si>
  <si>
    <t xml:space="preserve">lyseiqj ls jkoyh egnwn ekxZ </t>
  </si>
  <si>
    <t>BHEL Ranipur</t>
  </si>
  <si>
    <t xml:space="preserve">bLekbyiqj tSriqj ekxZ </t>
  </si>
  <si>
    <t xml:space="preserve">dUgkj[kkrk ls iM+rkiqj ekxZ </t>
  </si>
  <si>
    <t xml:space="preserve">'kknsiqj ls HkkSujh ekxZ </t>
  </si>
  <si>
    <t>UT 06-05</t>
  </si>
  <si>
    <t>Kaliyar</t>
  </si>
  <si>
    <t xml:space="preserve">'kknsiqj ls 'kkUrkj'kkg ekxZ </t>
  </si>
  <si>
    <t xml:space="preserve">njsM+k ls xksfoUniqj ekxZ </t>
  </si>
  <si>
    <t>jlwyiqj VkSafx;k &amp; Mkywokyk dyka eksVj ekxZ ,oa 15eh0 Liku dh ckWDl iqfy;k</t>
  </si>
  <si>
    <t>17.03.06</t>
  </si>
  <si>
    <t>16.03.07</t>
  </si>
  <si>
    <t>31.08.07</t>
  </si>
  <si>
    <t>jlwyiqj VkSafx;k &amp; Mkywokyk dyka eksVj ekxZ ij 30eh0 Liku dh ckWDl iqfy;k</t>
  </si>
  <si>
    <t>31.05.07</t>
  </si>
  <si>
    <t>Qwyx&lt;+ ls nqxkZx&lt;+@xwtj cLrh&amp; eqLrQkckn eksVj ekxZ</t>
  </si>
  <si>
    <t>gfj}kj uthckckn ekxZ ¼,u,p 72½ ls xS.Mh[kkrk cl LVSaM eksVj ekxZ</t>
  </si>
  <si>
    <t>iDdhjksM ls BksbZ eksVj ekxZ</t>
  </si>
  <si>
    <t>25.07.06</t>
  </si>
  <si>
    <t>24.04.07/
28.02.08</t>
  </si>
  <si>
    <t>gjtksyhtV ls dxokyh eksVj ekxZ</t>
  </si>
  <si>
    <t>dqM+h Hkxokuiqj&amp;if.Mriqj ls uUniqj eksVj ekxZ</t>
  </si>
  <si>
    <t>lksykuh unh ls fldUnjiqj eksVj ekxZ</t>
  </si>
  <si>
    <t>ykBjnsok &gt;cjsM+k jksM ¼vdcjiqj &gt;ks&gt;k½ ls [kq.Msokyh eksVj ekxZ</t>
  </si>
  <si>
    <t>28.09.07</t>
  </si>
  <si>
    <t>mnygsM+h ls dqejkM+k eksVj ekxZ</t>
  </si>
  <si>
    <t>dqejkM+h ls l&lt;kSyk eksVj ekxZ</t>
  </si>
  <si>
    <t>Hkxokuiqj&amp;beyh[ksM+k ls nfj;kiqj dykygV~Vh eksVj ekxZ</t>
  </si>
  <si>
    <t>:M+dh nsgjknwu ekxZ ¼gchciqj uoknk½ ls bczkfgeiqj elkgh eksVj ekxZ</t>
  </si>
  <si>
    <t>M/s KK Constt.</t>
  </si>
  <si>
    <t>uksdjkxzUV ls fQjkst+iqj nkSM+clh eksVj ekxZ</t>
  </si>
  <si>
    <t>yEcxzkUV ls etkjiqj lrhokyk ¼cUnjtwM+½ [kkylk eksVj ekxZ</t>
  </si>
  <si>
    <t>yEcxzkUV ls ykyokyk&amp;[kkylk eksVj ekxZ</t>
  </si>
  <si>
    <t>eqjknkckn&amp;nsgjknwu ekxZ ls ihyhiM+ko ekxZ dk 'ks"k Hkkx ¼feflax fyad½</t>
  </si>
  <si>
    <t>Akbarpur Sikroda to Nagal Motor Road, Upgradation</t>
  </si>
  <si>
    <t>Hullu Majra Dheer Majra to Changa Majri Dariyapur Motor Road, Upgradation</t>
  </si>
  <si>
    <t>Rohalki to Sahadevpur Motor Road, Upgradation</t>
  </si>
  <si>
    <t>Link Enterprises</t>
  </si>
  <si>
    <t>Laldang to Mithibari Motor Road, Upgradation</t>
  </si>
  <si>
    <t>17.09.15</t>
  </si>
  <si>
    <t>Ferapur Ramkhera to Chendpur Motor Road, Upgradation</t>
  </si>
  <si>
    <t>UT 06-07</t>
  </si>
  <si>
    <t>Aneki to Garhpirpur Motor Road, Upgradation</t>
  </si>
  <si>
    <t>UT 06-14</t>
  </si>
  <si>
    <t>Piran Kaliyar Bouglawala to Hazara Grant Motor Road, Upgradation</t>
  </si>
  <si>
    <t>UT 06-15</t>
  </si>
  <si>
    <t>Aurangabad Teliwala to Kutubgarh Motor Road, Upgradation</t>
  </si>
  <si>
    <t>UT 06-16</t>
  </si>
  <si>
    <t>Asafnagar Grant to Daluwala Muzfta Motor Road, Upgradation</t>
  </si>
  <si>
    <t>UT 06-17</t>
  </si>
  <si>
    <t>Khanpur to Bhulawali Motor Road, Upgradation</t>
  </si>
  <si>
    <t>SS Infrastructure</t>
  </si>
  <si>
    <t>Raipur to Sekanderpur Motor Road, Upgradation</t>
  </si>
  <si>
    <t>UT 06-06</t>
  </si>
  <si>
    <t>Gordhanpur to Lokhandwala Motor Road, Upgradation</t>
  </si>
  <si>
    <t>UT 06-08</t>
  </si>
  <si>
    <t>Mohanwala to Badshahpur Motor Road, Upgradation</t>
  </si>
  <si>
    <t>UT 06-09</t>
  </si>
  <si>
    <t>Sherpur to Alampur Motor Road, Upgradation</t>
  </si>
  <si>
    <t>UT 06-10</t>
  </si>
  <si>
    <t>Km 21 to T01 to Muheshra Motor Road, Upgradation</t>
  </si>
  <si>
    <t>UT 06-11</t>
  </si>
  <si>
    <t>Gordhanpur to Mathana Motor Road, Upgradation</t>
  </si>
  <si>
    <t>UT 06-18</t>
  </si>
  <si>
    <t>Roorkee Lakshar Road to Kuti Kuakheda Motor Road, Upgradation</t>
  </si>
  <si>
    <t>UT 06-12</t>
  </si>
  <si>
    <t>Bhagwanpur Crusher Khanpur to Khajuri Motor Road, Upgradation</t>
  </si>
  <si>
    <t>UT 06-13</t>
  </si>
  <si>
    <t>27.03.15</t>
  </si>
  <si>
    <t>26.03.16</t>
  </si>
  <si>
    <t xml:space="preserve">jrh?kkV csrky?kkV ekxZ fdeh0 2&amp;9 </t>
  </si>
  <si>
    <t>UT 07-01</t>
  </si>
  <si>
    <t>Jyolikot</t>
  </si>
  <si>
    <t xml:space="preserve">jrh?kkV csrky?kkV ekxZ fdeh0 10&amp;12 </t>
  </si>
  <si>
    <t>UT 07-02</t>
  </si>
  <si>
    <t>csrky?kkV xjft;k ekxZ fdeh0 4&amp;6</t>
  </si>
  <si>
    <t xml:space="preserve">ineiqjh NsM+k[kku dkBxksnke eksVj ekxZ fde0 61&amp;65 </t>
  </si>
  <si>
    <t>UT 07-03</t>
  </si>
  <si>
    <t>Bhimtal</t>
  </si>
  <si>
    <t>iVyksV nyd;kuk eksVj ekxZ fdeh0 4&amp;5</t>
  </si>
  <si>
    <t>jkeuxj cSjkt ls iVdksV ekxZ fdeh0 1 &amp; 7-775</t>
  </si>
  <si>
    <t>Ramnagar</t>
  </si>
  <si>
    <t>Kathgodam</t>
  </si>
  <si>
    <t>31.03.06</t>
  </si>
  <si>
    <t>jkeuxj cSjkt ls iVdksV ekxZ fdeh0 7-775 &amp;16-775</t>
  </si>
  <si>
    <t>31.05.06</t>
  </si>
  <si>
    <t>bykbt+j &amp; peksyh fdeh0 1&amp;5-50</t>
  </si>
  <si>
    <t>30.06.05</t>
  </si>
  <si>
    <t xml:space="preserve">jrh?kkV&amp;csrky?kkV&amp;dqefj;k ¼xjft+;k½ dk 'ks"k Hkkx ¼fdeh0 7&amp;12½ </t>
  </si>
  <si>
    <t>UT 07-05</t>
  </si>
  <si>
    <t>30.11.05</t>
  </si>
  <si>
    <t xml:space="preserve">eky/kupkSM+&amp;vkeMk.Mk&amp;gkFkhMxj eksVj ekxZ </t>
  </si>
  <si>
    <t>UT 07-06</t>
  </si>
  <si>
    <t xml:space="preserve">dkSjc&amp;ekSuk&amp;fljxk[ksr ekxZ </t>
  </si>
  <si>
    <t>UT 07-07</t>
  </si>
  <si>
    <t>dkSjc&amp;ekSSuk&amp;ljxk[ksr eksVj ekxZ dk vo'ks"k Hkkx</t>
  </si>
  <si>
    <t>UT 07-07/1</t>
  </si>
  <si>
    <t>bykbt+j&amp;peksyh ekxZ fdeh0 5-5&amp;12-50</t>
  </si>
  <si>
    <t>UT 07-04</t>
  </si>
  <si>
    <t>20.02.08</t>
  </si>
  <si>
    <t>19.02.09</t>
  </si>
  <si>
    <t xml:space="preserve">,l0,p0&amp;41 ds fdeh0&amp;325 ls pUnzuxj eksVj ekxZ </t>
  </si>
  <si>
    <t>14.09.05</t>
  </si>
  <si>
    <t>13.09.06</t>
  </si>
  <si>
    <t xml:space="preserve">flyVksuk ls ctsVh eksVj ekxZ </t>
  </si>
  <si>
    <t>24.05.06</t>
  </si>
  <si>
    <t>23.05.07</t>
  </si>
  <si>
    <t>[kqxkrh ls tks';wjk eksVj ekxZ</t>
  </si>
  <si>
    <t>iwoZ esa gLrkUrfjr</t>
  </si>
  <si>
    <t>mfy;kuk;k ls xksfu;kjk eksVj ekxZ ,oa 24eh0 Liku ds 02 lsrqvksa dk fuekZ.k</t>
  </si>
  <si>
    <t>M/s Aggrawal &amp; Co.</t>
  </si>
  <si>
    <t>21.11.06</t>
  </si>
  <si>
    <t>20.11.07</t>
  </si>
  <si>
    <t>nhuheYyh ls Mkoy eksVj ekxZ</t>
  </si>
  <si>
    <t>15.12.07</t>
  </si>
  <si>
    <t>14.12.08</t>
  </si>
  <si>
    <t>&gt;ka&gt;j ls vdlksM+k eksVj ekxZ</t>
  </si>
  <si>
    <t>10.07.06</t>
  </si>
  <si>
    <t>09.07.07</t>
  </si>
  <si>
    <t>dkBxksnke&amp;Hkokyh&amp;uFkqok[kku eksVj ekxZ ls xM+xkao eksVj ekxZ</t>
  </si>
  <si>
    <t>M/s Rana Constt.</t>
  </si>
  <si>
    <t>24.10.07</t>
  </si>
  <si>
    <t>23.10.08</t>
  </si>
  <si>
    <t>uFkqok[kku&amp;'khryk eksVj ekxZ ls Nrksyk eksVj ekxZ</t>
  </si>
  <si>
    <t>rYykdksV ls lhe eksVj ekxZ</t>
  </si>
  <si>
    <t>M/s Barahi Constt.</t>
  </si>
  <si>
    <t>14.01.08</t>
  </si>
  <si>
    <t>13.01.09</t>
  </si>
  <si>
    <t>NhM+k[kku ls vetM+ eksVj ekxZ</t>
  </si>
  <si>
    <t>uysuk ls pksiM+k eksVj ekxZ</t>
  </si>
  <si>
    <t>Kaladhungi</t>
  </si>
  <si>
    <t>M/s Kumar Trading Co.</t>
  </si>
  <si>
    <t>23.04.08</t>
  </si>
  <si>
    <t>22.04.09</t>
  </si>
  <si>
    <t>nsohiqjk ls lkSM+ eksVj ekxZ Hkkx&amp;1</t>
  </si>
  <si>
    <t>M/s RG Buildwell</t>
  </si>
  <si>
    <t>01.10.07</t>
  </si>
  <si>
    <t>30.09.08</t>
  </si>
  <si>
    <t>nsohiqjk ls lkSM+ eksVj ekxZ Hkkx&amp;2</t>
  </si>
  <si>
    <t>igfj;knkj ls lqjkax eksVj ekxZ</t>
  </si>
  <si>
    <t>UT 07-08</t>
  </si>
  <si>
    <t>25.10.07</t>
  </si>
  <si>
    <t>24.10.08</t>
  </si>
  <si>
    <t>pekssyh ls cjksu eksVj ekxZ</t>
  </si>
  <si>
    <t>UT 07-09</t>
  </si>
  <si>
    <t>21.02.08</t>
  </si>
  <si>
    <t>20.02.09</t>
  </si>
  <si>
    <r>
      <t>,l0,p0&amp;41 ds fdeh0&amp;325 ls pUnzuxj eksVj ekxZ LVst&amp;2</t>
    </r>
    <r>
      <rPr>
        <sz val="11"/>
        <rFont val="Times New Roman"/>
        <family val="1"/>
      </rPr>
      <t xml:space="preserve"> </t>
    </r>
    <r>
      <rPr>
        <sz val="11"/>
        <rFont val="Kruti Dev 010"/>
        <family val="0"/>
      </rPr>
      <t>ds dk;Z</t>
    </r>
  </si>
  <si>
    <t>M/s Parwatiye Construction</t>
  </si>
  <si>
    <t>26.07.08</t>
  </si>
  <si>
    <t>?kksM+k[kky ls /kqybZ eksVj ekxZ</t>
  </si>
  <si>
    <t>25.09.10</t>
  </si>
  <si>
    <t>Hkqft;k?kkV ls lqfj;kxkao rYyk eksVj ekxZ</t>
  </si>
  <si>
    <t>M/s G.S. Matiyani &amp; Sons</t>
  </si>
  <si>
    <t>29.12.09</t>
  </si>
  <si>
    <t xml:space="preserve">Hk.Mkjikuh&amp;ikVdksV ekxZ fdeh0&amp;5 ls vks[kyMqaxk eksVj ekxZ LVst&amp;2 </t>
  </si>
  <si>
    <t>10.11.08</t>
  </si>
  <si>
    <t>Hkksjlk ls fiujkvks eksVj ekxZ</t>
  </si>
  <si>
    <t>10.7.11</t>
  </si>
  <si>
    <t>nsoyh ls egrksyh eksVj ekxZ LVst&amp;2</t>
  </si>
  <si>
    <t>07.06.08</t>
  </si>
  <si>
    <t>06.03.11</t>
  </si>
  <si>
    <t>,eMhvkj&amp;25 ls yetksyk eksVj ekxZ</t>
  </si>
  <si>
    <t>M/s Dilawar Singh Contractor/Parvatiya Constt.</t>
  </si>
  <si>
    <t>05.10.10/
28.01.15</t>
  </si>
  <si>
    <t>04.01.12/
27.01.16</t>
  </si>
  <si>
    <t>ctwu ls v?kksM+k eksVj ekxZ</t>
  </si>
  <si>
    <t>M/s Super Constt.</t>
  </si>
  <si>
    <t>08.02.12</t>
  </si>
  <si>
    <t>Qrsgiqj ls csy eksVj ekxZ fdeh0 1&amp;10</t>
  </si>
  <si>
    <t>Amrit Dwellers</t>
  </si>
  <si>
    <t>26.03.12</t>
  </si>
  <si>
    <t>25.09.13</t>
  </si>
  <si>
    <t>Qrsgiqj ls csy eksVj ekxZ fdeh0 11&amp;20</t>
  </si>
  <si>
    <t>Qrsgiqj ls csy eksVj ekxZ fdeh0 21&amp;32</t>
  </si>
  <si>
    <t>rkdqMk ls Fkykjh eksVj ekxZ</t>
  </si>
  <si>
    <t>M/s Barahi Constrution</t>
  </si>
  <si>
    <t>10.06.11</t>
  </si>
  <si>
    <t>ineiqjh&amp;/kkukpwyh&amp;yksgk?kkV ekxZ fdeh0&amp;117 ls lqudksV eksVj ekxZ</t>
  </si>
  <si>
    <t>11.05.11</t>
  </si>
  <si>
    <t>10.08.12</t>
  </si>
  <si>
    <t>lksutkyk ls ujflag rYyk eksVj ekxZ</t>
  </si>
  <si>
    <t>UT 07-10</t>
  </si>
  <si>
    <t>SriRam Constt.</t>
  </si>
  <si>
    <t>16.12.13</t>
  </si>
  <si>
    <t>15.09.14</t>
  </si>
  <si>
    <t>dSaph ls gjrksik eksVj ekxZ</t>
  </si>
  <si>
    <t>UT 07-11</t>
  </si>
  <si>
    <t>M/s Shrilingum Enterprises</t>
  </si>
  <si>
    <t>25.11.09</t>
  </si>
  <si>
    <t>24.11.10</t>
  </si>
  <si>
    <t>24.06.11</t>
  </si>
  <si>
    <t>vesy ls [kksyk eksVj ekxZ</t>
  </si>
  <si>
    <t>UT 07-12</t>
  </si>
  <si>
    <t>M/s Ghirdhar Singh Adhikari</t>
  </si>
  <si>
    <t>04.10.11</t>
  </si>
  <si>
    <t>31.01.12</t>
  </si>
  <si>
    <t>Hkqft;k?kkV ls lqfj;kxkao eksVj ekxZ ds fdeh0&amp;1 ij 48eh0 Liku ds 02 lsrq</t>
  </si>
  <si>
    <t>UT 07-14</t>
  </si>
  <si>
    <t>M/s G.S Matiyani &amp; sons</t>
  </si>
  <si>
    <t>,eMhvkj&amp;25 ls yetksyk eksVj ekxZ ds fdeh0&amp;1 ij 42eh0 Liku dk lsrq</t>
  </si>
  <si>
    <t>UT 07-15</t>
  </si>
  <si>
    <t>M/s Dilawar Singh/Parvatiya Constt.</t>
  </si>
  <si>
    <t>nsohiqjk ls lkSM+ eksVj ekxZ ds fdeh0&amp;20 ij 48eh0 Liku dk lsrq</t>
  </si>
  <si>
    <t>UT 07-16</t>
  </si>
  <si>
    <t>M/s Hillways Engg.</t>
  </si>
  <si>
    <t>,y&amp;32 fdeh0&amp;20 ls ckuuk eksVj ekxZ</t>
  </si>
  <si>
    <t>UT 07-17</t>
  </si>
  <si>
    <t>07.06.12</t>
  </si>
  <si>
    <t>06.12.13</t>
  </si>
  <si>
    <t>cfM+;kj ls nwnyh eksVj ekxZ</t>
  </si>
  <si>
    <t>UT 07-18</t>
  </si>
  <si>
    <t>M/s Hilways Construction</t>
  </si>
  <si>
    <t>Jhajhar (Gazar) to Aksora Motor Road, Stage-II (L035)</t>
  </si>
  <si>
    <t>Satish Chandra Pandey</t>
  </si>
  <si>
    <t>25.02.11</t>
  </si>
  <si>
    <t>24.02.12</t>
  </si>
  <si>
    <t>Khugathi to Jashaura-Pataliya Motor Road, Stage-II (L023)</t>
  </si>
  <si>
    <t>Srilingum Enterprises</t>
  </si>
  <si>
    <t>Tallakot to Seem Motor Road, Stage-II (L029)</t>
  </si>
  <si>
    <t>Siltona to Bejari Motor Road, Stage-II L030)</t>
  </si>
  <si>
    <t>30.06.12</t>
  </si>
  <si>
    <t>Nathuakhal - Sheetla Road to Chhatola Motor Rd., Stage-II L029)</t>
  </si>
  <si>
    <t>14.02.11</t>
  </si>
  <si>
    <t>13.11.11</t>
  </si>
  <si>
    <t>4,5</t>
  </si>
  <si>
    <t>36 Mtr. Span Steel Girder Bridge Km 6 &amp; 8 at Fatehpur to Bel Motor Road (L026) (02 works)</t>
  </si>
  <si>
    <t>36 Mtr. Span Steel Girder Bridge Km 12 &amp; 18 at Fatehpur to Bel Motor Road  (L026) (02 works)</t>
  </si>
  <si>
    <t>30 Mtr. Span Steel Girder Bridge Km 25 at Fatehpur to Bel Motor Road  (L026)</t>
  </si>
  <si>
    <t>Dinni Talli - Dinni Malli to Dobal Motor Road, Stage-II (L027)</t>
  </si>
  <si>
    <t>M/s GS Matiyani &amp; Sons</t>
  </si>
  <si>
    <t>09.07.12</t>
  </si>
  <si>
    <t>08.04.13</t>
  </si>
  <si>
    <t>30 Mtr. Span Steel Girder Bridge over Khola Nala at Km 5 at Amel to Khola Motor Road (L028)</t>
  </si>
  <si>
    <t>M/s PD Garhkoti</t>
  </si>
  <si>
    <t>22.11.11</t>
  </si>
  <si>
    <t>Ghorakhal to Dhulai Motor Road, Stage-II</t>
  </si>
  <si>
    <t>17.06.14</t>
  </si>
  <si>
    <t>Devipura to Saur Motor Road, Stage-II</t>
  </si>
  <si>
    <t>Nalena to Chopra Motor Road, Stage-II</t>
  </si>
  <si>
    <t>16.05.13</t>
  </si>
  <si>
    <t>15.08.14</t>
  </si>
  <si>
    <t>Kathgodam-Bhawali-Nathuakhan to Gargaon Motor Road,Stage-II</t>
  </si>
  <si>
    <t>Ganesh Dutt Pant</t>
  </si>
  <si>
    <t>14.06.13</t>
  </si>
  <si>
    <t>13.06.14</t>
  </si>
  <si>
    <t>Uliyanaya (Dalkanya) to Gauniyaro Motor Road, Stage-II</t>
  </si>
  <si>
    <t>18.05.13</t>
  </si>
  <si>
    <t>17.05.14</t>
  </si>
  <si>
    <t>Chamoli (Khase) to Baroun Motor Road, Stage-II</t>
  </si>
  <si>
    <t>Pahriyadhar to Surang Motor Road, Stage-II</t>
  </si>
  <si>
    <t>Cheerakhan to Amjar Motor Road, Stage-II</t>
  </si>
  <si>
    <t>Salam Constt.</t>
  </si>
  <si>
    <t>03.08.13</t>
  </si>
  <si>
    <t>02.02.15</t>
  </si>
  <si>
    <t>Hartapa (Talla Ramgarh-Ratighat M. Rd. Km 8) to Hali Motor Road, Stage-I</t>
  </si>
  <si>
    <t>19.10.13</t>
  </si>
  <si>
    <t>18.01.15</t>
  </si>
  <si>
    <t>Bhujiaghat to Suriyagaon Talla Motor Road, Stage-II</t>
  </si>
  <si>
    <t>Aggrawal &amp; Co.</t>
  </si>
  <si>
    <t>05.10.13</t>
  </si>
  <si>
    <t>04.10.14</t>
  </si>
  <si>
    <t>Amel to Khola Motor Road, Stage-II</t>
  </si>
  <si>
    <t>17.10.13</t>
  </si>
  <si>
    <t>16.10.14</t>
  </si>
  <si>
    <t xml:space="preserve">24 Mtr. Bridge on Devipura to Saur Motor Road at Km 25 </t>
  </si>
  <si>
    <t>Shailputri Associates</t>
  </si>
  <si>
    <t>17.02.14</t>
  </si>
  <si>
    <t>16.02.15</t>
  </si>
  <si>
    <t xml:space="preserve">24 Mtr. Bridge on Devipura to Saur Motor Road at Km 27 </t>
  </si>
  <si>
    <t xml:space="preserve">24 Mtr. Bridge on Qurab-Mauna-Sergakhet  Motor Road at Km 2 </t>
  </si>
  <si>
    <t>Dinesh Chandra Patni</t>
  </si>
  <si>
    <t xml:space="preserve">24 Mtr. Bridge on Qurab-Mauna-Sergakhet  Motor Road at Km 4 </t>
  </si>
  <si>
    <t>MDR 29 Km 51 to Kyuri Band Basti Motor Road, Stage-I&amp;II</t>
  </si>
  <si>
    <t>Km 92 of NH-87 to Maluti Motor Road, Stage-I&amp;II</t>
  </si>
  <si>
    <t>UT 07-13</t>
  </si>
  <si>
    <t>Lohali to Thuwablock Motor Road, Stage-I&amp;II</t>
  </si>
  <si>
    <t>Takura to Thalari  Motor Road, Stage-II</t>
  </si>
  <si>
    <t>30.01.15</t>
  </si>
  <si>
    <t>29.01.16</t>
  </si>
  <si>
    <t>Barjoon to Aghora Motor Road, Stage-II</t>
  </si>
  <si>
    <t>Badiyar to Dudhali  Motor Road, Stage-II</t>
  </si>
  <si>
    <t>28.08.14</t>
  </si>
  <si>
    <t>27.08.15</t>
  </si>
  <si>
    <t>mjfeyxkao ls uSyxkao</t>
  </si>
  <si>
    <t>UT 08-01</t>
  </si>
  <si>
    <t>Satpuli</t>
  </si>
  <si>
    <t>19.01.02</t>
  </si>
  <si>
    <t>10.03.03</t>
  </si>
  <si>
    <t xml:space="preserve">ikSM+h nsgypksjh ekxZ </t>
  </si>
  <si>
    <t>UT 08-02</t>
  </si>
  <si>
    <t>Srinagar</t>
  </si>
  <si>
    <t xml:space="preserve">mQfj[kky cwaaxh/kkj eksVj ekxZ </t>
  </si>
  <si>
    <t>UT 08-03</t>
  </si>
  <si>
    <t>Chaubattakhal</t>
  </si>
  <si>
    <t>Baijro</t>
  </si>
  <si>
    <t>20.01.02</t>
  </si>
  <si>
    <t>31.03.03</t>
  </si>
  <si>
    <t>uSuhMk.Mk gYnw[kky eksVj ekxZ</t>
  </si>
  <si>
    <t>UT 08-04</t>
  </si>
  <si>
    <t>M/s Gambhir
 Singh</t>
  </si>
  <si>
    <t>11.01.02</t>
  </si>
  <si>
    <t xml:space="preserve">nensoy &amp; xMjh ekxZ </t>
  </si>
  <si>
    <t>30.06.04</t>
  </si>
  <si>
    <t xml:space="preserve">fdycks[kky &amp; fVdksyh[kky ekxZ </t>
  </si>
  <si>
    <t>Kotdwara</t>
  </si>
  <si>
    <t>30.06.06</t>
  </si>
  <si>
    <t xml:space="preserve">nsoiz;kx &amp; O;kl?kkV ekxZ </t>
  </si>
  <si>
    <t xml:space="preserve">iSBk.kh &amp; cM+sFk eksVj ekxZ </t>
  </si>
  <si>
    <t>Sri S N Bhatnagar</t>
  </si>
  <si>
    <t>03.05.09</t>
  </si>
  <si>
    <t>fcjeksyh&amp;lqjkM+h ekxZ ij lsrq</t>
  </si>
  <si>
    <t>UT 08-05</t>
  </si>
  <si>
    <t>Yamkeshwar</t>
  </si>
  <si>
    <t>M/s Prem Singh Kundan Singh Jamnal</t>
  </si>
  <si>
    <t>21.08.06</t>
  </si>
  <si>
    <t>20.08.03</t>
  </si>
  <si>
    <t>20.09.08</t>
  </si>
  <si>
    <t>Vsdk ls dsolZ eksVj ekxZ</t>
  </si>
  <si>
    <t>M/s SS Enterprises</t>
  </si>
  <si>
    <t>28.06.05</t>
  </si>
  <si>
    <t>27.06.06</t>
  </si>
  <si>
    <t xml:space="preserve">[kk.M~;wlSa.k ls otyh eksVj ekxZ </t>
  </si>
  <si>
    <t xml:space="preserve">csnh[kky ls pksjfd.Mk ekxZ </t>
  </si>
  <si>
    <t>21.10.08</t>
  </si>
  <si>
    <t>20.02.10</t>
  </si>
  <si>
    <t xml:space="preserve">fcjeksyh ls lqjkM+h eksVj ekxZ </t>
  </si>
  <si>
    <t>28.02.06</t>
  </si>
  <si>
    <t>31.08.08</t>
  </si>
  <si>
    <t xml:space="preserve">ukSM[kky ls ekykdksVk ekxZ </t>
  </si>
  <si>
    <t>M/s Narayan Dutt Rajendra Kumar</t>
  </si>
  <si>
    <t>07.10.05</t>
  </si>
  <si>
    <t>06.03.10</t>
  </si>
  <si>
    <t xml:space="preserve">vk;rk ls pjs[k eksVj ekxZ </t>
  </si>
  <si>
    <t>M/s Vijay Dhyani</t>
  </si>
  <si>
    <t>24.03.06</t>
  </si>
  <si>
    <t>23.02.10</t>
  </si>
  <si>
    <t>ektjk egknso ls ukSM+h eksVj ekxZ</t>
  </si>
  <si>
    <t>26.02.07</t>
  </si>
  <si>
    <t>fdelj ls /kkjdksV eksVj ekxZ</t>
  </si>
  <si>
    <t>16.05.06</t>
  </si>
  <si>
    <t>15.05.07</t>
  </si>
  <si>
    <t>/kkjdksV ls dyokM+h eksVj ekxZ</t>
  </si>
  <si>
    <t>Lansdown</t>
  </si>
  <si>
    <t>12.03.06</t>
  </si>
  <si>
    <t>11.03.07</t>
  </si>
  <si>
    <t>dqUt[kky ls dksVk eksVj ekxZ</t>
  </si>
  <si>
    <t>M/s SN Bhatnagar</t>
  </si>
  <si>
    <t>23.03.07</t>
  </si>
  <si>
    <t>xksfM+[;k[kky &amp; fclkYM eksVj ekxZ</t>
  </si>
  <si>
    <t>UT 08-06</t>
  </si>
  <si>
    <t>M/s Ram Narayan</t>
  </si>
  <si>
    <t>15.03.06</t>
  </si>
  <si>
    <t>14.03.07</t>
  </si>
  <si>
    <t>fd[kZw ls ikax eksVj ekxZ</t>
  </si>
  <si>
    <t>UT 08-07</t>
  </si>
  <si>
    <t>pkScV~Vk[kky ls nkUFkk eksVj ekxZ</t>
  </si>
  <si>
    <t>UT 08-08</t>
  </si>
  <si>
    <t>eft;kjh ls dqyklw eksVj ekxZ</t>
  </si>
  <si>
    <t>UT 08-09</t>
  </si>
  <si>
    <t>ukSM+h&amp;lkSaB eksVj ekxZ ,oa 04 y?kq lsrq</t>
  </si>
  <si>
    <t>UT 08-10</t>
  </si>
  <si>
    <t>JhdksV cS.M ls mjsaxh eksVj ekxZ</t>
  </si>
  <si>
    <t>UT 08-11</t>
  </si>
  <si>
    <t>M/s Bijendra Singh Bisht</t>
  </si>
  <si>
    <t>14.12.06</t>
  </si>
  <si>
    <t>fVgjh&amp;eqjknkckn ekxZ fdeh0&amp;121-01 ls feybZ eksVj ekxZ</t>
  </si>
  <si>
    <t>dqNksyh ls dBwM+ eksVj ekxZ</t>
  </si>
  <si>
    <t>paxhu ls dqNksyh&amp;dqB eksVj ekxZ</t>
  </si>
  <si>
    <t>UT 08-12</t>
  </si>
  <si>
    <t>22.03.06</t>
  </si>
  <si>
    <t>eksy[kk [kky ls Vhyk eksVj ekxZ</t>
  </si>
  <si>
    <t>17.03.08</t>
  </si>
  <si>
    <t>16.03.09</t>
  </si>
  <si>
    <t>16.12.11</t>
  </si>
  <si>
    <t>dk.Mklsjk ls Dokjyh rYyh eksVj ekxZ</t>
  </si>
  <si>
    <t>11.04.08</t>
  </si>
  <si>
    <t>10.04.09</t>
  </si>
  <si>
    <t>31.07.10</t>
  </si>
  <si>
    <t>fdycks[kky ls fVdksyh[kky eksVj ekxZ dk 'ks"k Hkkx ¼feflax fyad½</t>
  </si>
  <si>
    <t>M/s RaiBarelly Constt. Co.</t>
  </si>
  <si>
    <t>cwaxh/kkj ls fj[klky eksVj ekxZ</t>
  </si>
  <si>
    <t>M/s Shiv Singh Gusain</t>
  </si>
  <si>
    <t>20.10.09</t>
  </si>
  <si>
    <t>fiukuh/kkj ls fiukuh eksVj ekxZ</t>
  </si>
  <si>
    <t>M/s Ramesh Rawat</t>
  </si>
  <si>
    <t>19.06.08</t>
  </si>
  <si>
    <t>18.06.09</t>
  </si>
  <si>
    <t>esylSa.k ls pksiM+k eksVj ekxZ LVst&amp;2</t>
  </si>
  <si>
    <t>31.05.10</t>
  </si>
  <si>
    <t>30.09.10</t>
  </si>
  <si>
    <t>lnjcS.M ls ,sFkh eksVj ekxZ</t>
  </si>
  <si>
    <t>M/s Rajindra Singh Kuldeep Bangari</t>
  </si>
  <si>
    <t>ijlwUMk[kky ls dk.MbZ eYyh eksVj ekxZ</t>
  </si>
  <si>
    <t>S.N.Bharnagar</t>
  </si>
  <si>
    <t>10.01.09</t>
  </si>
  <si>
    <t>fiiyhikuh ls ukSyh&amp;/kkjdksV eksVj ekxZ</t>
  </si>
  <si>
    <t>Shri Subhash chandra Bahuguna</t>
  </si>
  <si>
    <t>19.11.08</t>
  </si>
  <si>
    <t>iapoVh ¼jhBk[kky½ ls ukbZ eksVj ekxZ</t>
  </si>
  <si>
    <t>24.12.10</t>
  </si>
  <si>
    <t>Hkjksyh ls eSBk.kk eksVj ekxZ</t>
  </si>
  <si>
    <t>Narendra Singh Rawat</t>
  </si>
  <si>
    <t>pkdhlSa.k ls tk[k eksVj ekxZ</t>
  </si>
  <si>
    <t>uybZ ls pqBk.kh eksVj ekxZ</t>
  </si>
  <si>
    <t>Shri Ramesh Rawat</t>
  </si>
  <si>
    <t>09.10.09</t>
  </si>
  <si>
    <t>Fkkiyk ls llkSu eksVj ekxZ</t>
  </si>
  <si>
    <t>f=iYlSa.k ls Mqaxjh rYYkh eksVj ekxZ</t>
  </si>
  <si>
    <t>M/s R.G.Buildwell</t>
  </si>
  <si>
    <t>09.11.10</t>
  </si>
  <si>
    <t>30.06.13</t>
  </si>
  <si>
    <t>ukSBk ls /kqysV eksVj ekxZ</t>
  </si>
  <si>
    <t>10.06.09</t>
  </si>
  <si>
    <t>09.03.11</t>
  </si>
  <si>
    <t xml:space="preserve">Vsdk ls dsolZ eksVj ekxZ LVst&amp;2 </t>
  </si>
  <si>
    <t>UT 08-13</t>
  </si>
  <si>
    <t>Shri Birendar Singh Bisht</t>
  </si>
  <si>
    <t>[kk.M~;wlSa.k&amp;otyh eksVj ekxZ LVst&amp;2</t>
  </si>
  <si>
    <t>[kksyk ls L;kyaxh yXxk flj[kk eksVj ekxZ</t>
  </si>
  <si>
    <t>UT 08-14</t>
  </si>
  <si>
    <t>Shri Rajan Gulani</t>
  </si>
  <si>
    <t>18.08.09</t>
  </si>
  <si>
    <t>17.08.10</t>
  </si>
  <si>
    <t>30.11.12</t>
  </si>
  <si>
    <t>yokM+ ls cUnw eksVj ekxZ</t>
  </si>
  <si>
    <t>15.02.10</t>
  </si>
  <si>
    <t>14.08.11</t>
  </si>
  <si>
    <t>ukSaxkao ls cdq.Mh eksVj ekxZ</t>
  </si>
  <si>
    <t>Kotdwar</t>
  </si>
  <si>
    <t>M/s N.Z. Construction</t>
  </si>
  <si>
    <t>31.10.10</t>
  </si>
  <si>
    <t>ouHkwfe ugha gSA</t>
  </si>
  <si>
    <t>pkScV~Vk[kky ls nkaFkk eksVj ekxZ LVst&amp;2</t>
  </si>
  <si>
    <t>M/s Rajindra Singh Kuldeep Singh</t>
  </si>
  <si>
    <t>14.05.10</t>
  </si>
  <si>
    <t>18.05.11</t>
  </si>
  <si>
    <t>xksfM+[;k[kky ls fc'kkYM eksVj ekxZ LVst&amp;2</t>
  </si>
  <si>
    <t>dqUt[kky ls dksVk eksVj ekxZ LVst&amp;2</t>
  </si>
  <si>
    <t>M/s S.N. Bhatnagar</t>
  </si>
  <si>
    <t>10.03.10</t>
  </si>
  <si>
    <t>09.09.11</t>
  </si>
  <si>
    <t>ektjk&amp;egknso ls lkSaB eksVj ekxZ LVst&amp;2</t>
  </si>
  <si>
    <t>08.04.11</t>
  </si>
  <si>
    <t>dqNksyh ls dBwM+ eksVj ekxZ LVst&amp;2</t>
  </si>
  <si>
    <t>M/s Arya Constt.</t>
  </si>
  <si>
    <t>08.06.11</t>
  </si>
  <si>
    <t>fljdksV cS.M ls mjsaxh eksVj ekxZ LVst&amp;2</t>
  </si>
  <si>
    <t>14.12.09</t>
  </si>
  <si>
    <t>fd[kwZ ls ikax eksVj ekxZ LVst&amp;2</t>
  </si>
  <si>
    <t>12.12.11</t>
  </si>
  <si>
    <t>feybZ ls dqbZ eksVj ekxZ LVst&amp;2</t>
  </si>
  <si>
    <t>Shri Birendra Singh Bisht</t>
  </si>
  <si>
    <t>13.12.10</t>
  </si>
  <si>
    <t>Amotha to Dobal (Dowal) Motor Road, (L037)</t>
  </si>
  <si>
    <t>Bharat Singh Rawat</t>
  </si>
  <si>
    <t>13.01.11</t>
  </si>
  <si>
    <t>12.04.12</t>
  </si>
  <si>
    <t>30.09.13</t>
  </si>
  <si>
    <t>Bunga Sakmakhet (Saknikhet) to Bed Gaon Motor Road, L031</t>
  </si>
  <si>
    <t>KBM Constt., Dehradun</t>
  </si>
  <si>
    <t>Kimsar to Dharkot Motor Road, Stage-II (L027)</t>
  </si>
  <si>
    <t>05.02.11</t>
  </si>
  <si>
    <t>Birmoli to Surari Motor Road, Stage-II (Near to L038 and T02)</t>
  </si>
  <si>
    <t>Narendra Singh, Pauri</t>
  </si>
  <si>
    <t>24 Mtr. Span Steel Girder Bridge Km 7 at Naudkhal to Malakota Motor Road (L021)</t>
  </si>
  <si>
    <t>10.10.11</t>
  </si>
  <si>
    <t>Jhaknikhal to Amola Motor Road, Stage-I&amp;II (L023)</t>
  </si>
  <si>
    <t>Sompal Singh, Muz'nagar</t>
  </si>
  <si>
    <t>Ringalpani to Juspur Motor Road, Stage-II (Near to L034 and T02)</t>
  </si>
  <si>
    <t>12.01.12</t>
  </si>
  <si>
    <t>Jandichour to Laldang Motor Road, Stage-II (L035)</t>
  </si>
  <si>
    <t>04.02.12</t>
  </si>
  <si>
    <t>Simalchaur to Sitabpur Motor Road, Stage-II  (L033/T04-ODR)</t>
  </si>
  <si>
    <t>Shiv Singh Gusain, Kotdwar</t>
  </si>
  <si>
    <t>Durgapur to Haldukhata Motor Road, Stage-II (L033)</t>
  </si>
  <si>
    <t>Aita to Charekh Motor Road, Stage-II (L030)</t>
  </si>
  <si>
    <t>25.08.12</t>
  </si>
  <si>
    <t>Kilbokhal to Tikolikhal Motor Road, Stage-II (L026)</t>
  </si>
  <si>
    <t>27.05.11</t>
  </si>
  <si>
    <t>26.08.12</t>
  </si>
  <si>
    <t>Khimakhet to Raiwa Motor Road, Stage-I &amp; Stage-II (L027)</t>
  </si>
  <si>
    <t>UT 08-15</t>
  </si>
  <si>
    <t>Kotdwar to Haridwar Motor Road,  Stage-II (T04-ODR)</t>
  </si>
  <si>
    <t>UT 08-16</t>
  </si>
  <si>
    <t>Sandesh Kumar/ RG Buildwell (410.78)</t>
  </si>
  <si>
    <t xml:space="preserve">14.03.12/
</t>
  </si>
  <si>
    <t xml:space="preserve">13.03.13/
</t>
  </si>
  <si>
    <t>36 Mtr. Span Steel Girder Bridge at Kilbokhal to Tikolikhal M. Rd. km-11</t>
  </si>
  <si>
    <t>UT 08-17</t>
  </si>
  <si>
    <t>Tonkhal to Badoli Badi Motor Road, Stage-II (Near to L022 and L023)</t>
  </si>
  <si>
    <t>UT 08-18</t>
  </si>
  <si>
    <t>Virendra Singh</t>
  </si>
  <si>
    <t>Simri to Kanda Malla Motor Road (L033)</t>
  </si>
  <si>
    <t>UT 08-23</t>
  </si>
  <si>
    <t>20.05.15</t>
  </si>
  <si>
    <t>Hkkjr ljdkjA</t>
  </si>
  <si>
    <t>Majgaon to Pokhari Motor Road, L049, Stage-I</t>
  </si>
  <si>
    <t>KBM Comstt.</t>
  </si>
  <si>
    <t>30.03.13</t>
  </si>
  <si>
    <t>14.04.14</t>
  </si>
  <si>
    <t xml:space="preserve">24 Mtr. Span Steel Girder Bridge at Km 10.00 of Panchwati (Reethakhal) to Nai Motor Road, L026 </t>
  </si>
  <si>
    <t>15.02.14</t>
  </si>
  <si>
    <t>14.02.15</t>
  </si>
  <si>
    <t>Buwakhal to Gahar Motor Road, Stage-I</t>
  </si>
  <si>
    <t>SN Bhatanagar</t>
  </si>
  <si>
    <t>25.05.13</t>
  </si>
  <si>
    <t>Saundar Band to Eithi Motor Road, Stage-II</t>
  </si>
  <si>
    <t>MNR Constt.</t>
  </si>
  <si>
    <t>Bungidhar to Riksal Motor Road, Stage-II</t>
  </si>
  <si>
    <t>Shiv Singh Gusain</t>
  </si>
  <si>
    <t>Bharoli to Maithana Motor Road, Stage-II</t>
  </si>
  <si>
    <t>28.05.13</t>
  </si>
  <si>
    <t>27.02.14</t>
  </si>
  <si>
    <t>Pinanidhar to Pinani Motor Road, Stage-II</t>
  </si>
  <si>
    <t>Sanjay Negi</t>
  </si>
  <si>
    <t>20.09.13</t>
  </si>
  <si>
    <t>Khola to Syalangi Lagga Sirkha Motor Road, Stage-II</t>
  </si>
  <si>
    <t>RB Constt.</t>
  </si>
  <si>
    <t>07.05.13</t>
  </si>
  <si>
    <t>06.05.14</t>
  </si>
  <si>
    <t>Thapla to Sansoun Motor Road, Stage-II</t>
  </si>
  <si>
    <t>Meharbaan Singh</t>
  </si>
  <si>
    <t>Nautha to Dhuleth Motor Road, Stage-II</t>
  </si>
  <si>
    <t>Birendra Singh Bisht</t>
  </si>
  <si>
    <t>30.05.13</t>
  </si>
  <si>
    <t>29.05.14</t>
  </si>
  <si>
    <t>Pankhet to Mathana Motor Road, Stage-I&amp;II</t>
  </si>
  <si>
    <t>Parsundakhal to Kandai Malli Motor Road, Stage-II</t>
  </si>
  <si>
    <t>Pipalpani to Nauli-Dharkot Motor Road, Stage-II</t>
  </si>
  <si>
    <t>Chekisain to Jakh Motor Road, Stage-II</t>
  </si>
  <si>
    <t>27.06.14</t>
  </si>
  <si>
    <t>Pedul to Ayal Motor Road, Stage-II</t>
  </si>
  <si>
    <t>Kanda Sera to Qwarli Talli Motor Road, Stage-II</t>
  </si>
  <si>
    <t>UT 08-21</t>
  </si>
  <si>
    <t>29.05.13</t>
  </si>
  <si>
    <t>Naudakhal to Malakota Motor Road, Stage-II</t>
  </si>
  <si>
    <t>UT 08-22</t>
  </si>
  <si>
    <t>NZ Constt.</t>
  </si>
  <si>
    <t>Naugaon to Bhokundi Motor Road, Stage-II</t>
  </si>
  <si>
    <t>KK Constt.</t>
  </si>
  <si>
    <t>14.07.13</t>
  </si>
  <si>
    <t>13.01.15</t>
  </si>
  <si>
    <t>Work in Progress/ NO(F)</t>
  </si>
  <si>
    <t>NO(F)</t>
  </si>
  <si>
    <t>Bedikhal to Chaurkhinda Motor Road, Stage-II</t>
  </si>
  <si>
    <t>UT 08-24</t>
  </si>
  <si>
    <t>SS Enterprises</t>
  </si>
  <si>
    <t>Devikhet to Daboli Motor Road, Stage-I&amp;II</t>
  </si>
  <si>
    <t>UT 08-25</t>
  </si>
  <si>
    <t>Sandesh Kumar</t>
  </si>
  <si>
    <t>Ringalpani to Goom Motor Road, Stage-I&amp;II</t>
  </si>
  <si>
    <t>UT 08-26</t>
  </si>
  <si>
    <t>Seeku to Kanderi Motor Road, Stage-I&amp;II</t>
  </si>
  <si>
    <t>S N.  Bhatnagar</t>
  </si>
  <si>
    <t>21.08.15</t>
  </si>
  <si>
    <t>Dobh Srikot to Kathur Motor Road, Stage-I &amp; II</t>
  </si>
  <si>
    <t>Vijay Engg. Associates</t>
  </si>
  <si>
    <t>Pokhari to Joogdi Motor Road, Stage-I&amp;II</t>
  </si>
  <si>
    <t>Dhan pal Chand Ramola</t>
  </si>
  <si>
    <t>02.10.13</t>
  </si>
  <si>
    <t>10.10.14</t>
  </si>
  <si>
    <t>Molan to Bhitai Malli Motor Road, Stage-I&amp;II</t>
  </si>
  <si>
    <t>Molkhakhal to Teela Motor Road, Stage-II</t>
  </si>
  <si>
    <t>Nalai to Chuthani Motor Road, Stage-II</t>
  </si>
  <si>
    <t>17.01.14</t>
  </si>
  <si>
    <t>16.07.15</t>
  </si>
  <si>
    <t>Tripalisain to Dungri  Motor Road, Stage-II</t>
  </si>
  <si>
    <t>KBM Constt. JV</t>
  </si>
  <si>
    <t>14.03.16</t>
  </si>
  <si>
    <t>Chopra to Nalai Motor Road, Stage-I&amp;II</t>
  </si>
  <si>
    <t>14.10.13</t>
  </si>
  <si>
    <t>Dadamandi Dwarikhal Rd. to Balli Motor Road, Stage-I</t>
  </si>
  <si>
    <t>Aslam Ali Constt.</t>
  </si>
  <si>
    <t>Timlisain to Badiyar Motor Road, Stage-I&amp;II</t>
  </si>
  <si>
    <t>12.11.14</t>
  </si>
  <si>
    <t>11.02.16</t>
  </si>
  <si>
    <t>Jadankhan to Kochiyar Motor Road, Stage-I&amp;II</t>
  </si>
  <si>
    <t>Rajendra Singh Kuldeep Singh JV</t>
  </si>
  <si>
    <t>27.02.15</t>
  </si>
  <si>
    <t>Jadan Khand to Kinath Malla Motor Road, Stage-I&amp;II</t>
  </si>
  <si>
    <t>05.12.14</t>
  </si>
  <si>
    <t>04.06.16</t>
  </si>
  <si>
    <t>Doliakhal-Patotia Motor Road, Stage-I&amp;II</t>
  </si>
  <si>
    <t>04.12.15</t>
  </si>
  <si>
    <t>Kasani to Dhiswani Motor Road, Stage-I&amp;II</t>
  </si>
  <si>
    <t>Vijarapain to Ghandiyal Talla Motor Road, Stage-I</t>
  </si>
  <si>
    <t>S. N. Bhatnagar</t>
  </si>
  <si>
    <t xml:space="preserve">Satpuli-Ekeshwar Motor Road Km 21 to Gurad Malla Motor Road, Stage-I </t>
  </si>
  <si>
    <t>Rajendra Singh Kuldeep Singh</t>
  </si>
  <si>
    <t>Bunga Sakmakhet (Saknikhet) to Bed Gaon Motor Road, Stage-II</t>
  </si>
  <si>
    <t>27.04.16</t>
  </si>
  <si>
    <t>Panchwati Reethakhal to Nai Motor Road, Stage-II</t>
  </si>
  <si>
    <t>UT 08-19</t>
  </si>
  <si>
    <t>R.G. Buildwell</t>
  </si>
  <si>
    <t>Patisain-Tajwar-Ekeshwar Motor Road, Stage-I&amp;II</t>
  </si>
  <si>
    <t>UT 08-20</t>
  </si>
  <si>
    <t>Padul Pal to Kolri Motor Road, Stage-I&amp;II</t>
  </si>
  <si>
    <t>S.S. Enterprises</t>
  </si>
  <si>
    <t>Amotha to Dowal Motor Road, Stage-II</t>
  </si>
  <si>
    <t>Dharkot to Kalwari Motor Road, Stage-II</t>
  </si>
  <si>
    <t>04.10.15</t>
  </si>
  <si>
    <t>Civil Soyam</t>
  </si>
  <si>
    <t>Mathana to Ghaniyali Motor Road, Stage-I&amp;II</t>
  </si>
  <si>
    <t>UT 08-28</t>
  </si>
  <si>
    <t>Meharban Singh</t>
  </si>
  <si>
    <t>08.09.14</t>
  </si>
  <si>
    <t>07.09.15</t>
  </si>
  <si>
    <t>Bironkhal to Dumaila Talla Motor Road, Stage-I&amp;II</t>
  </si>
  <si>
    <t>UT 08-29</t>
  </si>
  <si>
    <t>Ashok Kumar</t>
  </si>
  <si>
    <t>03.02.16</t>
  </si>
  <si>
    <t>Dunglikot to Dudoli Talli Motor Road, Stage-I</t>
  </si>
  <si>
    <t>UT 08-32</t>
  </si>
  <si>
    <t>Naini Velley Constt.</t>
  </si>
  <si>
    <t>07.12.15</t>
  </si>
  <si>
    <t>Ekeshwar to Syoli Motor Road, Stage-I&amp;II</t>
  </si>
  <si>
    <t>UT 08-33</t>
  </si>
  <si>
    <t>Pokhar to Kurakhpal Motor Road, Stage-I&amp;II</t>
  </si>
  <si>
    <t>UT 08-34</t>
  </si>
  <si>
    <t>RG Buildwell</t>
  </si>
  <si>
    <t>02.04.16</t>
  </si>
  <si>
    <t>Panchwati to Gadoli Motor Road, Stage-I&amp;II</t>
  </si>
  <si>
    <t>UT 08-35</t>
  </si>
  <si>
    <t>Padmender Singh Negi</t>
  </si>
  <si>
    <t>30.06.14</t>
  </si>
  <si>
    <t>29.06.15</t>
  </si>
  <si>
    <t>Bhergari (Bhergaon) to Gudinda Motor Road, Stage-I&amp;II</t>
  </si>
  <si>
    <t>UT 08-36</t>
  </si>
  <si>
    <t>Shiva Constt (JV)</t>
  </si>
  <si>
    <t>Deval to Belda Bada Motor Road, Stage-I</t>
  </si>
  <si>
    <t>UT 08-37</t>
  </si>
  <si>
    <t>Kodiya to Kimsar Motor Road, Upgradation</t>
  </si>
  <si>
    <t>UT 08-38</t>
  </si>
  <si>
    <t>Sanjeev K. Bansal</t>
  </si>
  <si>
    <t>29.02.16</t>
  </si>
  <si>
    <t>Banjnalevi to RikniKhal Motor Road, Upgradation</t>
  </si>
  <si>
    <t>UT 08-39</t>
  </si>
  <si>
    <t>Nalikhal to Bharpur Motor Road, Stage-I&amp;II</t>
  </si>
  <si>
    <t>UT 08-41</t>
  </si>
  <si>
    <t>29.12.15</t>
  </si>
  <si>
    <t>Bajaron Pani – Kunjkhal to Harolikhal Motor Road, Upgradation</t>
  </si>
  <si>
    <t>UT 08-42</t>
  </si>
  <si>
    <t>R.G. Buildwell Engineers Ltd.</t>
  </si>
  <si>
    <t>01.08.14</t>
  </si>
  <si>
    <t>Km 18 of T03 to Gorli Motor Road, Stage-I&amp;II</t>
  </si>
  <si>
    <t>UT 08-43</t>
  </si>
  <si>
    <t>Jagmohan Singh Bisht</t>
  </si>
  <si>
    <t>14.09.15</t>
  </si>
  <si>
    <t>Dungripanth to Khirsu Motor Road, Upgradation</t>
  </si>
  <si>
    <t>UT 08-44</t>
  </si>
  <si>
    <t>Ringalpani-Juspur Road to Gweel-Garhkot Motor Road, Stage-I</t>
  </si>
  <si>
    <t>UT 08-45</t>
  </si>
  <si>
    <t>30.03.15</t>
  </si>
  <si>
    <t>29.09.16</t>
  </si>
  <si>
    <t>Jakhanikhal-Amola to Dabara Motor Road, Stage-I&amp;II</t>
  </si>
  <si>
    <t>UT 08-46</t>
  </si>
  <si>
    <t>Sri Sompal Singh</t>
  </si>
  <si>
    <t>03.08.15</t>
  </si>
  <si>
    <t>vpksyh cM+kos eksVj ekxZ fdeh0 11&amp; 17</t>
  </si>
  <si>
    <t>UT 09-01</t>
  </si>
  <si>
    <t>Pithoragarh-1</t>
  </si>
  <si>
    <t>vpksyh cM+kos eksVj ekxZ fdeh0 18&amp; 23</t>
  </si>
  <si>
    <t>UT 09-02</t>
  </si>
  <si>
    <t>uSuhirky eM+ekuys ekxZ fde0 9&amp;14</t>
  </si>
  <si>
    <t>UT 09-03</t>
  </si>
  <si>
    <t>Gangolihat</t>
  </si>
  <si>
    <t>dupksVh 'kkscyk eksVj ekxZ fdeh0 
1&amp;5-50</t>
  </si>
  <si>
    <t>UT 09-04</t>
  </si>
  <si>
    <t>Dharchula</t>
  </si>
  <si>
    <t>Didihat</t>
  </si>
  <si>
    <t>xqjuk &amp; xksfxuk eksVj ekxZ fdeh0 1&amp;4-8</t>
  </si>
  <si>
    <t>Pithoragarh-2</t>
  </si>
  <si>
    <t>31.07.06</t>
  </si>
  <si>
    <t>L;wrhxM+&amp;jkeefUnj pdcksjk fdeh0 0&amp;4</t>
  </si>
  <si>
    <t>30.05.06</t>
  </si>
  <si>
    <t xml:space="preserve">L;wrhxM+&amp;jkeefUnj pdcksjk eksVj ekxZ fdeh0 4-00 &amp; 10-00 </t>
  </si>
  <si>
    <t>30.03.07</t>
  </si>
  <si>
    <t xml:space="preserve">nsoyFkky ls mjbZ eksVj ekxZ </t>
  </si>
  <si>
    <t>UT 09-05</t>
  </si>
  <si>
    <t xml:space="preserve">xkSjhgkV&amp;HkVsjh eksVj ekxZ </t>
  </si>
  <si>
    <t>fVeVk ls cqxyhxwaFk eksVj ekxZ Hkkx&amp;1 fdeh0 6&amp;17-9</t>
  </si>
  <si>
    <t>13.12.05</t>
  </si>
  <si>
    <t>12.12.06</t>
  </si>
  <si>
    <t>fVeVk ls cqxyhxwaFk eksVj ekxZ Hkkx&amp;2 fdeh0 17-9&amp;28-47</t>
  </si>
  <si>
    <t xml:space="preserve">UT 09-02 </t>
  </si>
  <si>
    <t>30.04.09</t>
  </si>
  <si>
    <t xml:space="preserve">xqjuk&amp;xksfxuk fdeh0&amp;5 ls lYyk eksVj ekxZ </t>
  </si>
  <si>
    <t xml:space="preserve">UT 09-03 </t>
  </si>
  <si>
    <t>fVeVk&amp;cqxyhxwaFk ekxZ fdeh0&amp;14 ij 30eh Liku ds lsrq dk fuekZ.k</t>
  </si>
  <si>
    <t xml:space="preserve">UT 09-04 </t>
  </si>
  <si>
    <t>19.02.11</t>
  </si>
  <si>
    <t>fVeVk&amp;cqxyhxwaFk ekxZ fdeh0&amp;24 ij 36eh Liku ds lsrq dk fuekZ.k</t>
  </si>
  <si>
    <t>20.05.10</t>
  </si>
  <si>
    <t>19.05.11</t>
  </si>
  <si>
    <t xml:space="preserve">xqjuk&amp;xksfxuk ls lYyk eksVj ekxZ dkWt+os] 30eh0 ,oa 36eh0 Liku ds lsrqvksas dk fuekZ.k </t>
  </si>
  <si>
    <t xml:space="preserve">UT 09-05 </t>
  </si>
  <si>
    <t>25.12.06</t>
  </si>
  <si>
    <t>24.12.07</t>
  </si>
  <si>
    <t>xaxksyhgkV&amp;pksjiky eksVj ekxZ fd-eh- 15 ¼cft;kjh½ ls dqUrksyk eksVj ekxZ</t>
  </si>
  <si>
    <t>Fky&amp;equL;kjh ekxZ fdeh0 43 ls lkedksV eksVj ekxZ</t>
  </si>
  <si>
    <t>16.10.07</t>
  </si>
  <si>
    <t>15.10.08</t>
  </si>
  <si>
    <t xml:space="preserve">eUlwjh&amp;dk.Mk&amp;gksdjk eksVj ekxZ </t>
  </si>
  <si>
    <t>19.04.06</t>
  </si>
  <si>
    <t>18.04.07</t>
  </si>
  <si>
    <t>eUlwjh&amp;dk.Mk&amp;gksdjk eksVj ekxZ ij 40eh0 Liku dk lsrq</t>
  </si>
  <si>
    <t>n'kkbZFky ls mijk+M+k eksVj ekxZ</t>
  </si>
  <si>
    <t>13.09.07</t>
  </si>
  <si>
    <t>12.09.08</t>
  </si>
  <si>
    <t>laxksM+ ls n'kkSyh&amp;nkuw eksVj ekxZ</t>
  </si>
  <si>
    <t>26.07.07</t>
  </si>
  <si>
    <t>f[kjek.Ms ls uSuksyh eksVj ekxZ</t>
  </si>
  <si>
    <t>11.02.08</t>
  </si>
  <si>
    <t>pkSukyk&amp;cjlquckMh ls MEMs eksVj ekxZ</t>
  </si>
  <si>
    <t>UT 09-08</t>
  </si>
  <si>
    <t>endksV ls nkjek eksVj ekxZ</t>
  </si>
  <si>
    <t>M/s Shabbir Ahmed &amp; Sons</t>
  </si>
  <si>
    <t>dQyMqaxjh ls luxM+&amp;okLrs&amp; xuxM+k eksVj ekxZ</t>
  </si>
  <si>
    <t>20.05.09</t>
  </si>
  <si>
    <t>ckalcxM+ ls /kkehxkao eksVj ekxZ</t>
  </si>
  <si>
    <t>UT 09-06</t>
  </si>
  <si>
    <t>M/s KMM Engg. &amp; Constt.</t>
  </si>
  <si>
    <t>27.07.07</t>
  </si>
  <si>
    <t>NsM+k&amp;Nkuk ls Hkwje.kh eksVj ekxZ</t>
  </si>
  <si>
    <t>UT 09-07</t>
  </si>
  <si>
    <t>M/s Himalaya Constt.</t>
  </si>
  <si>
    <t>09.04.10</t>
  </si>
  <si>
    <t>nsoyFky ls mjbZ eksVj ekxZ dk vkjfEHkd Hkkx ¼feflax fyad½</t>
  </si>
  <si>
    <t>M/s K.M. Engineering Construction</t>
  </si>
  <si>
    <t>21.11.09</t>
  </si>
  <si>
    <t>xkSjhgkV ls HkVsjh eksVj ekxZ dk 'ks"k Hkkx ¼feflax fyad½</t>
  </si>
  <si>
    <t>21.06.11</t>
  </si>
  <si>
    <t>xksfxuk ¼pqidksV cS.M½ ls tejkM+h eksVj ekxZ</t>
  </si>
  <si>
    <t>M/s KM.Engineering Construction</t>
  </si>
  <si>
    <t>24.05.08</t>
  </si>
  <si>
    <t>22.02.11</t>
  </si>
  <si>
    <t>oM~Mk ls [krsjk eksVj ekxZ</t>
  </si>
  <si>
    <t>Shri Shabir Ahmed</t>
  </si>
  <si>
    <t>21.12.10</t>
  </si>
  <si>
    <t>31.10.11</t>
  </si>
  <si>
    <t>fcu ls pSlj eksVj ekxZ</t>
  </si>
  <si>
    <t>M/s G.S. Matiyani</t>
  </si>
  <si>
    <t>22.12.09</t>
  </si>
  <si>
    <t>lkunso ls rqjxksyh eksVj ekxZ Hkkx&amp;1</t>
  </si>
  <si>
    <t>M/s. Dalip Singh Adhikari</t>
  </si>
  <si>
    <t>18.08.12</t>
  </si>
  <si>
    <t>lkunso ls rqjxksyh eksVj ekxZ Hkkx&amp;2</t>
  </si>
  <si>
    <t>lkunso ls uuikikS eksVj ekxZ</t>
  </si>
  <si>
    <t>01.06.15</t>
  </si>
  <si>
    <t>ckalcxM+ ls xksBh eYyk rYyk eksVj ekxZ</t>
  </si>
  <si>
    <t>M/s K.M. Engineering</t>
  </si>
  <si>
    <t>08.03.10</t>
  </si>
  <si>
    <t>07.09.11</t>
  </si>
  <si>
    <t>MhMhgkV th0vkbZ0lh0 ls HkuM+k eksVj ekxZ</t>
  </si>
  <si>
    <t>M/s Indraparasth</t>
  </si>
  <si>
    <t>nksckal ¼n~;kSjk½ ls Hkrksyh eksVj ekxZ</t>
  </si>
  <si>
    <t>Sri. Chandri Chand</t>
  </si>
  <si>
    <t>18.02.12</t>
  </si>
  <si>
    <t>ctsVh ls ikSu eksVj ekxZ</t>
  </si>
  <si>
    <t>NsM+k ls vkxj eksVj ekxZ</t>
  </si>
  <si>
    <t>UT 09-09</t>
  </si>
  <si>
    <t>04.07.14</t>
  </si>
  <si>
    <t>pkSckVh ls cksjkcawxk eksVj ekxZ</t>
  </si>
  <si>
    <t>UT 09-10</t>
  </si>
  <si>
    <t>tk[kiUr ls eudksV eksVj ekxZ</t>
  </si>
  <si>
    <t>UT 09-11</t>
  </si>
  <si>
    <t>M/s. Sor Valley</t>
  </si>
  <si>
    <t>18.05.12</t>
  </si>
  <si>
    <t>31.01.14</t>
  </si>
  <si>
    <t>e.kekaMys ls xqjNq eksVj ekxZ</t>
  </si>
  <si>
    <t>UT 09-12</t>
  </si>
  <si>
    <t>HkVsM+h ls dfV;kuh eksVj ekxZ</t>
  </si>
  <si>
    <t>UT 09-13</t>
  </si>
  <si>
    <t>M/s M.S. Dhek</t>
  </si>
  <si>
    <t>lqokys[k&amp;jksM+hikyh ls &gt;wuh eksVj ekxZ</t>
  </si>
  <si>
    <t>UT 09-14</t>
  </si>
  <si>
    <t>M/s. Parwatiya Constt.</t>
  </si>
  <si>
    <t>xaxksyhgkV&amp; iok/kkj&amp;pksjiky ekxZ fdeh0&amp;12 ¼/kjkM+h½ ls xuwjk eksVj ekxZ</t>
  </si>
  <si>
    <t>UT 09-17</t>
  </si>
  <si>
    <t>24.12.13</t>
  </si>
  <si>
    <t>23.06.15</t>
  </si>
  <si>
    <t>HkkVhxkao ls DoSjkyh eksVj ekxZ</t>
  </si>
  <si>
    <t>UT 09-19</t>
  </si>
  <si>
    <t>Deepak Siingh Dasila</t>
  </si>
  <si>
    <t>08.03.13</t>
  </si>
  <si>
    <t>31.08.14</t>
  </si>
  <si>
    <t>gfy;ktksc ls xjkÅ¡ eksVj ekxZ</t>
  </si>
  <si>
    <t>UT 09-20</t>
  </si>
  <si>
    <t>01.03.15</t>
  </si>
  <si>
    <t>p.Mkd ¼fiFkkSjkx&lt;+&amp;[kkrhxkao ekxZ fdeh0&amp;8½ ls ikHkbZ&amp;pekyh eksVj ekxZ</t>
  </si>
  <si>
    <t>UT 09-21</t>
  </si>
  <si>
    <t>22.07.13</t>
  </si>
  <si>
    <t>36 Mtr. Span Steel Girder Bridge of Wadda Khatera Motor Road</t>
  </si>
  <si>
    <t>Chandri Chand</t>
  </si>
  <si>
    <t>18 Mtr. Span Steel Girder Bridge of Wadda Khatera Motor Road</t>
  </si>
  <si>
    <t>70 Mtr. Span Steel Girder Bridge at Km 6 of Gogina (Chupkot Band) to Jamradi Motor Road</t>
  </si>
  <si>
    <t>Dinesh Chand Patni</t>
  </si>
  <si>
    <t>Dasaithal to Uprada Motor Road, Stage-II</t>
  </si>
  <si>
    <t>Kafaldungri to Sangar-Bastey-Gangara Motor Road, Stage-II</t>
  </si>
  <si>
    <t>GS Matiyani</t>
  </si>
  <si>
    <t>Khirmandy to Nainoli (Naini) Motor Road, Stage-II</t>
  </si>
  <si>
    <t>MBC Infratech Pvt. Ltd.</t>
  </si>
  <si>
    <t>29.08.14</t>
  </si>
  <si>
    <t>28.11.15</t>
  </si>
  <si>
    <t>Chunala to Barsunbari-Damdey Motor Road, Stage-II</t>
  </si>
  <si>
    <t>Gurna-Gogina Km 5 to Salla Motor Road Motor Road, Stage-II</t>
  </si>
  <si>
    <t>Bharat Constt.</t>
  </si>
  <si>
    <t>Bansbagar to Dhamigaon Motor Road, Stage-II</t>
  </si>
  <si>
    <t>Pipaliya Engg. &amp; Costt.</t>
  </si>
  <si>
    <t>Sangaur to Dasholi-Danu Motor Road, Stage-II</t>
  </si>
  <si>
    <t>Shiv Shankar Engineers</t>
  </si>
  <si>
    <t>Thal-Munsyari Rd. Km 43 (Ginni Bend) to Samkot Motor Road, Stage-II</t>
  </si>
  <si>
    <t>26.08.14</t>
  </si>
  <si>
    <t>Timta to Bungligunth Motor Road, Stage-II</t>
  </si>
  <si>
    <t>26.11.13</t>
  </si>
  <si>
    <t>Bansbagar to Pandrahpala-Kota Motor Road, Stage-I</t>
  </si>
  <si>
    <t>19.07.13</t>
  </si>
  <si>
    <t>Didihat GGIC to Bhanra Motor Road, Stage-II</t>
  </si>
  <si>
    <t>UT 09-15</t>
  </si>
  <si>
    <t>Deepak Singh Dasila</t>
  </si>
  <si>
    <t>Mansori-Kanda-Hokra Motor Road, Stage-II</t>
  </si>
  <si>
    <t>UT 09-16</t>
  </si>
  <si>
    <t>25.08.15</t>
  </si>
  <si>
    <t>Bansbagar to Guthi Malla Talla Motor Road, Stage-II</t>
  </si>
  <si>
    <t xml:space="preserve">Bajeti to Paun Motor Road, Stage-II </t>
  </si>
  <si>
    <t>UT 09-18</t>
  </si>
  <si>
    <t>18.07.14</t>
  </si>
  <si>
    <t>Gogina (Chupkot Bend) to Jamrari Motor Road, Stage-II</t>
  </si>
  <si>
    <t>12.04.13</t>
  </si>
  <si>
    <t>Bin to Chaiser Motor Road, Stage-II</t>
  </si>
  <si>
    <t>Wadda to Khatera Motor Road, Stage-II</t>
  </si>
  <si>
    <t>UT 09-22</t>
  </si>
  <si>
    <t>21.06.14</t>
  </si>
  <si>
    <t>Devalthal to Bamdoli Motor Road, Stage-I&amp;II</t>
  </si>
  <si>
    <t>Gangolihat-Chorpal Rd. Km 15 (Banjiyari) to Kuntola Motor Road, Stage-II</t>
  </si>
  <si>
    <t>Nachani to Malla Bhainskot Motor Road, Stage-I</t>
  </si>
  <si>
    <t>Pipaliya Engg. &amp; Constt.</t>
  </si>
  <si>
    <t>25.05.15</t>
  </si>
  <si>
    <t>Patal-Bhuwneshwar to Daujawalia Motor Road, Stage-I</t>
  </si>
  <si>
    <t>19.07.15</t>
  </si>
  <si>
    <t>Nachani to Bansbagar Motor Road, Upgradation</t>
  </si>
  <si>
    <t>Kapkot-Sama-Tejam Motor Road, Upgradation</t>
  </si>
  <si>
    <t>Gangolihat to Chorpal Motor Road, Upgradation</t>
  </si>
  <si>
    <t>29.11.14</t>
  </si>
  <si>
    <t>28.05.16</t>
  </si>
  <si>
    <t>Dasaithal to  Agron Motor Road, Upgradation</t>
  </si>
  <si>
    <t>Shiva Constt</t>
  </si>
  <si>
    <t>Berinag to Gangolihat Motor Road, Upgradation</t>
  </si>
  <si>
    <t>Berinag to Posa Motor Road, Stage-I</t>
  </si>
  <si>
    <t>Chorma-Chaurasi to Bajani Motor Road, Stage-I</t>
  </si>
  <si>
    <t>Bansbagar to Manidhami Motor Road, Stage-I</t>
  </si>
  <si>
    <t>Govt.</t>
  </si>
  <si>
    <t>Chabatti to Baran Bachkuri Motor Road, Stage-I</t>
  </si>
  <si>
    <t>Pali to Boyal Motor Road, Stage-I</t>
  </si>
  <si>
    <t>Sumeti to Bhailtari Motor Road, Stage-I</t>
  </si>
  <si>
    <t>Bungchina to Kusail Motor Road, Stage-I</t>
  </si>
  <si>
    <t>Bairat Barain to Bogar Motor Road, Stage-I</t>
  </si>
  <si>
    <t>R'prayag</t>
  </si>
  <si>
    <t>:nziz;kx ls pksiM+k ekxZ</t>
  </si>
  <si>
    <t>UT 10-01</t>
  </si>
  <si>
    <t>20.08.01</t>
  </si>
  <si>
    <t>19.02.02</t>
  </si>
  <si>
    <t xml:space="preserve">vxLR;eqfu NkM+ksyh ekxZ </t>
  </si>
  <si>
    <t>UT 10-02</t>
  </si>
  <si>
    <t>Jakholi</t>
  </si>
  <si>
    <t>19.02.03</t>
  </si>
  <si>
    <t xml:space="preserve">ryk &amp; cjaxyh eksVj ekxZ </t>
  </si>
  <si>
    <t>Kedarnath</t>
  </si>
  <si>
    <t>M/s Sadar Singh</t>
  </si>
  <si>
    <t xml:space="preserve">eulwuk &amp; xMxw eksVj ekxZ </t>
  </si>
  <si>
    <t>UT 10-03</t>
  </si>
  <si>
    <t>Sahab Singh</t>
  </si>
  <si>
    <t>30.04.06</t>
  </si>
  <si>
    <t>vedksVh&amp;R;wU[kj eksVj ekxZ</t>
  </si>
  <si>
    <t>UT 10-04</t>
  </si>
  <si>
    <t xml:space="preserve">Hkhjh &amp; ijd.Mh eksVj ekxZ </t>
  </si>
  <si>
    <t>UT 10-05</t>
  </si>
  <si>
    <t xml:space="preserve">fryokM+k &amp; lkSM+HkV~Vxkao &amp; ckobZ eksVj ekxZ </t>
  </si>
  <si>
    <t>M/s Hari Singh</t>
  </si>
  <si>
    <t>02.11.09</t>
  </si>
  <si>
    <t xml:space="preserve">?kSa?kM+[kky ls tokM+h eksVj ekxZ </t>
  </si>
  <si>
    <t xml:space="preserve">dksywcS.M ls LokjhXokal eksVj ekxZ </t>
  </si>
  <si>
    <t>27.07.09</t>
  </si>
  <si>
    <t xml:space="preserve">ryk&amp;cjaxyh eksVj ekxZ ij 40eh0 Liku ds lsrq dk fuekZ.k </t>
  </si>
  <si>
    <t xml:space="preserve">UT 10-04 </t>
  </si>
  <si>
    <t>M/s Roop Ram Bhatt &amp; Sons</t>
  </si>
  <si>
    <t>25.02.05</t>
  </si>
  <si>
    <t>24.02.06</t>
  </si>
  <si>
    <t>fot; uxj rYyk eksVj ekxZ ds fdeh0&amp;9 ls dqeM+h eksVj ekxZ</t>
  </si>
  <si>
    <t>Sh. Shanti Prasad Semwal</t>
  </si>
  <si>
    <t>clq ds/kkj ls D;kdZ clwjh eksVj ekxZ</t>
  </si>
  <si>
    <t>xqykcjk; ls rquk eksVj ekxZ</t>
  </si>
  <si>
    <t>M/s Vijay Engineering Associates</t>
  </si>
  <si>
    <t>20.07.07</t>
  </si>
  <si>
    <t>19.07.08</t>
  </si>
  <si>
    <t>nqyk/kkj cS.M ls x.ks'kuxj eksVj ekxZ</t>
  </si>
  <si>
    <t>M/s Jaspal Singh Contractor</t>
  </si>
  <si>
    <t>cM+koeYyk ls dk.Mh eksVj ekxZ</t>
  </si>
  <si>
    <t>20.09.07</t>
  </si>
  <si>
    <t>19.09.08</t>
  </si>
  <si>
    <t>,DlVssa'ku txklw ls jkalh rjlkyh eksVj ekxZ</t>
  </si>
  <si>
    <t>eSBk.kk[kky ls lkSnk eksVj ekxZ</t>
  </si>
  <si>
    <t>UT 10-06</t>
  </si>
  <si>
    <t>M/s Bhatt &amp; Thapliyal</t>
  </si>
  <si>
    <t>xksjik fljokM+h ls dqjNksyk eksVj ekxZ</t>
  </si>
  <si>
    <t>UT 10-07</t>
  </si>
  <si>
    <t>22.03.07</t>
  </si>
  <si>
    <t>21.03.08</t>
  </si>
  <si>
    <t>cq&lt;+uk ls ikykdqykjh eksVj ekxZ</t>
  </si>
  <si>
    <t>UT 10-08</t>
  </si>
  <si>
    <t>M/s Raghubir Singh Sajwan</t>
  </si>
  <si>
    <t>29.03.07</t>
  </si>
  <si>
    <t>28.03.08</t>
  </si>
  <si>
    <t>t[kksyh&amp;xqIrdk'kh ¼cLrh½ ls gkV eksVj ekxZ</t>
  </si>
  <si>
    <t>UT 10-09</t>
  </si>
  <si>
    <t>m[kheB ls fdek.kk fdjks[kh eksVj ekxZ</t>
  </si>
  <si>
    <t>05.03.10/
14.02.15</t>
  </si>
  <si>
    <t>04.03.11/
13.02.16</t>
  </si>
  <si>
    <t>j;kM+h ls vj[kq.M eksVj ekxZ</t>
  </si>
  <si>
    <t>09.07.08</t>
  </si>
  <si>
    <t>08.07.09</t>
  </si>
  <si>
    <t>dksV ls t[kokM+h eYyh eksVj ekxZ</t>
  </si>
  <si>
    <t>12.10.09</t>
  </si>
  <si>
    <t>vUFkksyh ls flyxkao eksVj ekxZ</t>
  </si>
  <si>
    <t>M/s Bhatt &amp; Thapliyal Engineering &amp; Jitendra Kumar</t>
  </si>
  <si>
    <t>04.09.11</t>
  </si>
  <si>
    <t>dk;Z iw.kZA ok0ya0&amp;22-45 fdeh0</t>
  </si>
  <si>
    <t>QkVk ls tkew eksVj ekxZ</t>
  </si>
  <si>
    <t>M/s Kailash Chandra Thapliyal</t>
  </si>
  <si>
    <t>07.12.10</t>
  </si>
  <si>
    <t>06.12.11</t>
  </si>
  <si>
    <t>cylwUnh ls v[kksM+h eksVj ekxZ</t>
  </si>
  <si>
    <t>07.06.10</t>
  </si>
  <si>
    <t>06.06.11</t>
  </si>
  <si>
    <t>lqekM+h ls tSyh eksVj ekxZ</t>
  </si>
  <si>
    <t>:nziz;kx&amp;xkSjhdq.M ekxZ fdeh0&amp;7 ls ukM+h eksVj ekxZ</t>
  </si>
  <si>
    <t>M/s Rajinder &amp; Company</t>
  </si>
  <si>
    <t>fryokM+k&amp;fVgjh ekxZ fdeh0&amp;6 ls dksV ykSxk eksVj ekxZ</t>
  </si>
  <si>
    <t>M/s Vijay Engineering</t>
  </si>
  <si>
    <t>06.12.10</t>
  </si>
  <si>
    <t>05.12.11</t>
  </si>
  <si>
    <t>fouks/kkjk&amp;dqM+h ls mNksyk eksVj ekxZ
¼fouks/kkjk&amp;L;wj eksVj ekxZ½</t>
  </si>
  <si>
    <t>UT 10-10</t>
  </si>
  <si>
    <t>M/s Sharda Associates</t>
  </si>
  <si>
    <t>14.01.11</t>
  </si>
  <si>
    <t>13.06.12</t>
  </si>
  <si>
    <t>/k//kh ekyxqM+h ls cUlh eksVj ekxZ</t>
  </si>
  <si>
    <t>M/s Bhatt &amp; Thapliyal Engg.</t>
  </si>
  <si>
    <t>05.09.13</t>
  </si>
  <si>
    <t>lkaxw ls lkjh eksVj ekxZ</t>
  </si>
  <si>
    <t>04.12.10</t>
  </si>
  <si>
    <t>03.06.12</t>
  </si>
  <si>
    <t>Vijay Nagar to Taila Motor Road, Stage-II (L047)</t>
  </si>
  <si>
    <t>M/s Shanti Prasad Semwal</t>
  </si>
  <si>
    <t>15.02.11</t>
  </si>
  <si>
    <t>14.02.12</t>
  </si>
  <si>
    <t>Sumari to Jaily Motor Road, Stage-II (L031)</t>
  </si>
  <si>
    <t>13.01.12</t>
  </si>
  <si>
    <t>Gulabrai to Tuna Motor Road, Stage-II (L048)</t>
  </si>
  <si>
    <t>M/s Vijay Engg.</t>
  </si>
  <si>
    <t>Tilwara-Sourbhatgaon to Bawai Motor Road, Stage-II (L032)</t>
  </si>
  <si>
    <t>Kot (Randhar) to Bandhanital Motor Road, Stage-I&amp; Stage-II (L025)</t>
  </si>
  <si>
    <t>Shri Raghubeer Singh Sajwan</t>
  </si>
  <si>
    <t>24 Mtr. Span Steel Girder Bridge at Extention Jugasu to Ransi-Talsari Motor Road (L023)</t>
  </si>
  <si>
    <t>Lambgondi to Dewali Bhaningram Motor Road, L039,Stage-I</t>
  </si>
  <si>
    <t>Kailash Thapliyal</t>
  </si>
  <si>
    <t>28.03.13</t>
  </si>
  <si>
    <t>27.03.14</t>
  </si>
  <si>
    <t xml:space="preserve">48 Mtr. Span Steel Girder Bridge at Km 4 of Gorpa Sirwari to Kurchhola Motor Road, L026  </t>
  </si>
  <si>
    <t>Vijay Builders JV</t>
  </si>
  <si>
    <t>03.09.12</t>
  </si>
  <si>
    <t>02.09.13</t>
  </si>
  <si>
    <t xml:space="preserve">18 Mtr. Span Steel Girder Bridge at 9 of Gorpa Sirwari to Kurchhola Motor Road, L026    </t>
  </si>
  <si>
    <t>24 Mtr. Span Steel Truss Bridge at Km 2.00 of Vijay Nagar to Taila Motor Road, L048</t>
  </si>
  <si>
    <t>Mahesha Nand Thapliyal</t>
  </si>
  <si>
    <t xml:space="preserve">36 Mtr. Span Steel Girder Bridge at Km 32.00 of Sangu to Sari Motor Road, L041 </t>
  </si>
  <si>
    <t>26.06.16</t>
  </si>
  <si>
    <t xml:space="preserve">18.00 Mtr. Span Steel Girder Bridge at Km 14 of Sangu to Sari Motor Road, L041 </t>
  </si>
  <si>
    <t xml:space="preserve">18.00 Mtr. Span Steel Girder Bridge at Km 24 of Sangu to Sari Motor Road, L041 </t>
  </si>
  <si>
    <t xml:space="preserve">15.00 Mtr. at Km 2.00 of Sangu to Sari Motor Road, L041   </t>
  </si>
  <si>
    <t xml:space="preserve">15.00 Mtr. at Km 17.00 of Sangu to Sari Motor Road,  L041 </t>
  </si>
  <si>
    <t xml:space="preserve">15.00 Mtr. at Km 19.00 of Sangu to Sari Motor Road, L041  </t>
  </si>
  <si>
    <t xml:space="preserve">15.00 Mtr. at Km 21.00 of Sangu to Sari Motor Road, L041  </t>
  </si>
  <si>
    <t>Bhaunsal to Kunda Dankot (Tarag) Motor Road, Stage-I</t>
  </si>
  <si>
    <t>Rudrprayag</t>
  </si>
  <si>
    <t>Jakholi-Guptkashi (Basti) to Haat Motor Rd.,Stage-II</t>
  </si>
  <si>
    <t>Star Constt.</t>
  </si>
  <si>
    <t>Koluband to Swarigwans Motor Rd.,Stage-II</t>
  </si>
  <si>
    <t>Akash Ganga Contractors</t>
  </si>
  <si>
    <t>14.06.14</t>
  </si>
  <si>
    <t>Duladhar Bend to Ganesh Nagar Motor Rd.,Stage-II</t>
  </si>
  <si>
    <t>Mohankhal Kunja Bhiri to Parkandi-Kanoli-Jalai Sursal Motor Rd., Upgradation</t>
  </si>
  <si>
    <t>Basukedar to Kyark Basuri Motor Road, Stage-II</t>
  </si>
  <si>
    <t xml:space="preserve"> Neel Chandramauleshwar Associates</t>
  </si>
  <si>
    <t>Phata to Jamu Motor Road, Stage-II</t>
  </si>
  <si>
    <t>M/s Kailash Thapliyal</t>
  </si>
  <si>
    <t>Rayari to Arkhund Motor Road, Stage-II</t>
  </si>
  <si>
    <t>03.07.15</t>
  </si>
  <si>
    <t>Binowadhar-Kudi to Uchhola (Syur) Motor Road, Stage-II</t>
  </si>
  <si>
    <t>M/s Vijay Builders JV</t>
  </si>
  <si>
    <t>30.11.13</t>
  </si>
  <si>
    <t>Badawmalla to Kandi Motor Road, Stage-II</t>
  </si>
  <si>
    <t>24.05.16</t>
  </si>
  <si>
    <t>Duladharband-Ganesh Nagar Motor Road Km 15.35 to Jahangi-Pillubair Motor Road, Stage-I</t>
  </si>
  <si>
    <t>10.01.14</t>
  </si>
  <si>
    <t>09.01.15</t>
  </si>
  <si>
    <t>Antholi to Silgaon Motor Road, Stage-II</t>
  </si>
  <si>
    <t>M/s Bhatt &amp; Thapliyal Engineering</t>
  </si>
  <si>
    <t>13.12.13</t>
  </si>
  <si>
    <t>29.05.15</t>
  </si>
  <si>
    <t>Rudraprayag to Chopra Motor Road, Upgradation</t>
  </si>
  <si>
    <t>UT 10-12</t>
  </si>
  <si>
    <t>Bhatt &amp; Thapliya Engg.</t>
  </si>
  <si>
    <t>19.08.14</t>
  </si>
  <si>
    <t>18.02.16</t>
  </si>
  <si>
    <t>Rudraprayag to Pokhari Motor Road, Upgradation</t>
  </si>
  <si>
    <t>UT 10-14</t>
  </si>
  <si>
    <t>Bodubagar to Bhaunsal Motor Road, Upgradation</t>
  </si>
  <si>
    <t>UT 10-13</t>
  </si>
  <si>
    <t>Vijaynagar to Taila Motor Road, Upgradation</t>
  </si>
  <si>
    <t>UT 10-15</t>
  </si>
  <si>
    <t>09.03.16</t>
  </si>
  <si>
    <t>Tilwara to Saurakhal Motor Road, Upgradation</t>
  </si>
  <si>
    <t>UT 10-16</t>
  </si>
  <si>
    <t>03.01.16</t>
  </si>
  <si>
    <t>Ukhimath-Mansuna-Jugasu-Raulank Motor Road, Upgradation</t>
  </si>
  <si>
    <t>UT 10-17</t>
  </si>
  <si>
    <t>Nabh Const. &amp; Developers &amp; Kailash Thapliyal JV</t>
  </si>
  <si>
    <t>03.07.14</t>
  </si>
  <si>
    <t>Tilwara-Tehri Rd. Km 6 to Kot Lauga Motor Road, Stage-II</t>
  </si>
  <si>
    <t>07.06.15</t>
  </si>
  <si>
    <t>Budhana to Pala Kurali Motor Road, Stage-II</t>
  </si>
  <si>
    <t>25.12.15</t>
  </si>
  <si>
    <t>Rudraprayag-Gaurikund M/R to Km 7.00 to Nari Motor Road, Stage-II</t>
  </si>
  <si>
    <t>UT 10-11</t>
  </si>
  <si>
    <t>RB Group Developers</t>
  </si>
  <si>
    <t>udksV pkeuh ,y0oh0vkj0 fdeh0 1&amp;5-5</t>
  </si>
  <si>
    <t>UT 11-01</t>
  </si>
  <si>
    <t>Tehri-2</t>
  </si>
  <si>
    <t>Uttam Singh Makhloga</t>
  </si>
  <si>
    <t>28.12.06</t>
  </si>
  <si>
    <t>udksV pkeuh iV~Vk ,y0oh0vkj0 fdeh0 5-5&amp;11</t>
  </si>
  <si>
    <t>UT 11-02</t>
  </si>
  <si>
    <t>Girvir Singh Makhloga</t>
  </si>
  <si>
    <t>udksV pkeuh iV~Vk ,y0oh0vkj0 fdeh0 11&amp;17</t>
  </si>
  <si>
    <t>UT 11-03</t>
  </si>
  <si>
    <t>Kunwar Singh Topwal</t>
  </si>
  <si>
    <t xml:space="preserve">ukxuh tM+/kkj dqfM+;kyxkao pEck ekxZ </t>
  </si>
  <si>
    <t>UT 11-04</t>
  </si>
  <si>
    <t>Rajendra Singh Bhandari</t>
  </si>
  <si>
    <t xml:space="preserve">tk[k.kh/kkj&amp;uokdksV eksVj ekxZ </t>
  </si>
  <si>
    <t>Tehri-1</t>
  </si>
  <si>
    <t xml:space="preserve">ejksM+k &amp; cukyh eksVj ekxZ </t>
  </si>
  <si>
    <t>Dhanolti</t>
  </si>
  <si>
    <t>31.10.07</t>
  </si>
  <si>
    <t xml:space="preserve">lSu &amp; eU/kkj eksVj ekxZ </t>
  </si>
  <si>
    <t>Pratapnagar</t>
  </si>
  <si>
    <t>M/s Sadar Singh Yudhveer Singh</t>
  </si>
  <si>
    <t>01.08.08</t>
  </si>
  <si>
    <t xml:space="preserve">tkSadk.kh &amp; HksywUrk eksVj ekxZ </t>
  </si>
  <si>
    <t>M/s Uttaranchal Bldrs</t>
  </si>
  <si>
    <t>15.09.09</t>
  </si>
  <si>
    <t>15.04.10</t>
  </si>
  <si>
    <t>pkSifM+;kyxkao ls lkSM+ ekxZ</t>
  </si>
  <si>
    <t>M/s Ramola Constt.</t>
  </si>
  <si>
    <t>01.12.09</t>
  </si>
  <si>
    <t xml:space="preserve">yEcxkao ls df.M;kyxkao eksVj ekxZ </t>
  </si>
  <si>
    <t>M/s Pooran Chand Ramola</t>
  </si>
  <si>
    <t>20.06.05</t>
  </si>
  <si>
    <t>11.6.05</t>
  </si>
  <si>
    <t>30.04.07</t>
  </si>
  <si>
    <t xml:space="preserve">f'koiqjh ls freyh eksVj ekxZ </t>
  </si>
  <si>
    <t>N'nagar</t>
  </si>
  <si>
    <t xml:space="preserve">fVijh ls pkgxMksfy;k eksVj ekxZ </t>
  </si>
  <si>
    <t>M/s Border Builders</t>
  </si>
  <si>
    <t>18.6.08</t>
  </si>
  <si>
    <t>17.06.09</t>
  </si>
  <si>
    <t>flj[kksyh ls Hkkjiqj eksVj ekxZ</t>
  </si>
  <si>
    <t>M/s Rukam Chandra Ramola</t>
  </si>
  <si>
    <t>09.05.07</t>
  </si>
  <si>
    <t>08.05.08</t>
  </si>
  <si>
    <t>fdyfdys'oj ls uSFkkuk eksVj ekxZ</t>
  </si>
  <si>
    <t>Devprayag</t>
  </si>
  <si>
    <t>11.07.06</t>
  </si>
  <si>
    <t>10.07.07</t>
  </si>
  <si>
    <t>U;w fVgjh ls cqMksxh eksVj ekxZ</t>
  </si>
  <si>
    <t>M/s Uttam Singh Ravindra Singh</t>
  </si>
  <si>
    <t>05.12.06</t>
  </si>
  <si>
    <t>fiy[kh ls oupwjh eksVj ekxZ</t>
  </si>
  <si>
    <t>UT 11-06</t>
  </si>
  <si>
    <t>Ghansali</t>
  </si>
  <si>
    <t>24.01.08</t>
  </si>
  <si>
    <t>23.01.09</t>
  </si>
  <si>
    <t>[kksyk ls /kkji;kadksVh eksVj ekxZ</t>
  </si>
  <si>
    <t>UT 11-08</t>
  </si>
  <si>
    <t>L;kydq.M&amp;exjk&amp;dksVh ls e; eaxjks eksVj ekxZ</t>
  </si>
  <si>
    <t>UT 11-09</t>
  </si>
  <si>
    <t>M/s DK Builders</t>
  </si>
  <si>
    <t>ewykx&lt;+ ls FkkjVh eksVj ekxZ</t>
  </si>
  <si>
    <t>UT 11-10</t>
  </si>
  <si>
    <t xml:space="preserve">dk;Z iw.kZA </t>
  </si>
  <si>
    <t>Mqax ls Mqax [kcksxh eksVj ekxZ</t>
  </si>
  <si>
    <t>UT 11-11</t>
  </si>
  <si>
    <t>22.05.08</t>
  </si>
  <si>
    <t>21.05.09</t>
  </si>
  <si>
    <t>xwyj&amp;ukbZ ls feUnFk eksVj ekxZ</t>
  </si>
  <si>
    <t>UT 11-12</t>
  </si>
  <si>
    <t>18.03.06</t>
  </si>
  <si>
    <t>ukbZ&amp;flYkdu ls efB;kyh eksVj ekxZ fdeh0&amp;1&amp;19-32 ¼Hkkx&amp;1½</t>
  </si>
  <si>
    <t>UT 11-13</t>
  </si>
  <si>
    <t>30.04.08</t>
  </si>
  <si>
    <t>ukbZ&amp;flYkdu ls efB;kyh eksVj ekxZ fdeh0&amp;19-32&amp;30-58 ¼Hkkx&amp;2½</t>
  </si>
  <si>
    <t>UT 11-14</t>
  </si>
  <si>
    <t>26.12.06</t>
  </si>
  <si>
    <t>ikSM+h[kky ls Vksyh ¼Niksyh½ eksVj ekxZ</t>
  </si>
  <si>
    <t>UT 11-15</t>
  </si>
  <si>
    <t>Kirtinagar</t>
  </si>
  <si>
    <t>xkSeq[k &amp; fleyklw ¼Mksc½ eksVj ekxZ</t>
  </si>
  <si>
    <t>enu usxh ls [kksyk eksVj ekxZ</t>
  </si>
  <si>
    <t>UT 11-16</t>
  </si>
  <si>
    <t>izrkiuxj&amp;fVgjh ekxZ fdeh0&amp;20 ls dQyksx eksVj ekxZ</t>
  </si>
  <si>
    <t>UT 11-17</t>
  </si>
  <si>
    <t>izrkiuxj&amp;fVgjh ekxZ fdeh0&amp;22 ls usYMk eksVj ekxZ</t>
  </si>
  <si>
    <t>foud[kky ls Hksrh eksVj ekxZ</t>
  </si>
  <si>
    <t>ljd.Mk ls xksuk eksVj ekxZ</t>
  </si>
  <si>
    <t>uSuh ls iBokM+k eksVj ekxZ</t>
  </si>
  <si>
    <t>M/s BMS Projects Pvt. Ltd.</t>
  </si>
  <si>
    <t>10.04.08</t>
  </si>
  <si>
    <t>09.04.09</t>
  </si>
  <si>
    <t>xSjhjkt ls dksjMh eksVj ekxZ</t>
  </si>
  <si>
    <t>13.03.08</t>
  </si>
  <si>
    <t>12.03.09</t>
  </si>
  <si>
    <t>flj[kksyh ls xksnjh D;kdhZ eksVj ekxZ</t>
  </si>
  <si>
    <t>UT 11-05</t>
  </si>
  <si>
    <t>27.10.07</t>
  </si>
  <si>
    <t>26.10.08</t>
  </si>
  <si>
    <t>[krokM+cS.M ls fjaxksyh eYyh eksVj ekxZ</t>
  </si>
  <si>
    <t>fgUMksyk[kky ls mukuk eksVj ekxZ</t>
  </si>
  <si>
    <t>UT 11-07</t>
  </si>
  <si>
    <t>13.02.08</t>
  </si>
  <si>
    <t>12.02.09</t>
  </si>
  <si>
    <t>Tokjuk ls dUL;wM eksVj ekxZ</t>
  </si>
  <si>
    <t>27.05.16</t>
  </si>
  <si>
    <t>Fkkrh ls dksV rksyh eksVj ekxZ</t>
  </si>
  <si>
    <t>25.09.09</t>
  </si>
  <si>
    <t>24.09.10</t>
  </si>
  <si>
    <t>/kekrksyh ls NkathrYYkh eksVj ekxZ</t>
  </si>
  <si>
    <t>Shri Raghuveer Singh Sajwan</t>
  </si>
  <si>
    <t>04.11.09</t>
  </si>
  <si>
    <t>03.01.11</t>
  </si>
  <si>
    <t>ljkalxkao ls xuxj [kksyk eksVj ekxZ</t>
  </si>
  <si>
    <t>Shail Shikhar Builders</t>
  </si>
  <si>
    <t>29.12.10</t>
  </si>
  <si>
    <t>28.11.11</t>
  </si>
  <si>
    <t>dqfUM;ky ls esgjxkao ¼jSadk½ eksVj ekxZ</t>
  </si>
  <si>
    <t>Shri Pooran Chand Ramola</t>
  </si>
  <si>
    <t>25.03.10</t>
  </si>
  <si>
    <t>24.03.11</t>
  </si>
  <si>
    <t>fujLr@[k.M Lrj ijA</t>
  </si>
  <si>
    <t>iqjkuh ftjdksVh ls dijksyh eksVj ekxZ</t>
  </si>
  <si>
    <t>21.12.09</t>
  </si>
  <si>
    <t>20.06.11</t>
  </si>
  <si>
    <t>pEck&amp;/kjklw eksVj ekxZ ls D;wykxh eksVj ekxZ</t>
  </si>
  <si>
    <t>04.12.09</t>
  </si>
  <si>
    <t>03.12.10</t>
  </si>
  <si>
    <t>eqfy;kxkao ls iqysFkh eksVj ekxZ</t>
  </si>
  <si>
    <t>Puran Chandra Romola &amp; Bros.</t>
  </si>
  <si>
    <t>22.10.09</t>
  </si>
  <si>
    <t>dksVh ls Nkath ¼n[kokuxkao½ eksVj ekxZ</t>
  </si>
  <si>
    <t>Bhagwan Singh Sajwan, Tehri</t>
  </si>
  <si>
    <t>04.03.11</t>
  </si>
  <si>
    <t>03.12.11</t>
  </si>
  <si>
    <t>xksuk ls dksV eksVj ekxZ</t>
  </si>
  <si>
    <t>Sh. Ummed Singh Rawat</t>
  </si>
  <si>
    <t>18.01.13</t>
  </si>
  <si>
    <t>ik[k ls nkSuh&amp;iYyh eksVj ekxZ</t>
  </si>
  <si>
    <t>Shri Rajiv Kandari</t>
  </si>
  <si>
    <t>08.10.09</t>
  </si>
  <si>
    <t>fcPNw lEidZ ekxZ dk fcPNw rd foLrkj</t>
  </si>
  <si>
    <t>M/s Nagtibba Nirman</t>
  </si>
  <si>
    <t>22.09.09</t>
  </si>
  <si>
    <t>fljdk[kky ls ljd;kuk eksVj ekxZ</t>
  </si>
  <si>
    <t>28.02.16</t>
  </si>
  <si>
    <t>pkSifM+;kyxkao ls lkSM+ eksVj ekxZ LVst&amp;2</t>
  </si>
  <si>
    <t>ubZ&amp;flY[kkuh ls efB;kyh eksVj ekxZ LVst&amp;2</t>
  </si>
  <si>
    <t>ikSM+h[kky ls rksyh&amp;Niksyh ekSVj ekxZ LVst&amp;2</t>
  </si>
  <si>
    <t>Satyam Infratech</t>
  </si>
  <si>
    <t>04.02.15</t>
  </si>
  <si>
    <t>ewykx&lt;+ ls Fkkjrh eksVj ekxZ LVst&amp;2</t>
  </si>
  <si>
    <t>Shri Raghuveer Singh</t>
  </si>
  <si>
    <t>yEcxkao ls df.M;kyxkao eksVj ekxZ LVst&amp;2</t>
  </si>
  <si>
    <t>foud[kky ls HksVh eksVj ekxZ LVst&amp;2</t>
  </si>
  <si>
    <t>M/s D.K. Builders</t>
  </si>
  <si>
    <t>ljd.Mk ls xksuk eksVj ekxZ LVst&amp;2</t>
  </si>
  <si>
    <t>Shri Dhanpal Chandra Ramola</t>
  </si>
  <si>
    <t>ihVh ekxZ fdeh0&amp;27 ls usYMk eksVj ekxZ LVst&amp;2</t>
  </si>
  <si>
    <t>UT 11-18</t>
  </si>
  <si>
    <t>L;kydq.M&amp;dksVh ls e;eaxjks eksVj ekxZ LVst&amp;2</t>
  </si>
  <si>
    <t>UT 11-19</t>
  </si>
  <si>
    <t>15.10.09</t>
  </si>
  <si>
    <t>xkseq[k ls fleyklw eksVj ekxZ LVst&amp;2</t>
  </si>
  <si>
    <t>UT 11-20</t>
  </si>
  <si>
    <t>M/s Durga Constt.</t>
  </si>
  <si>
    <t>04.09.12</t>
  </si>
  <si>
    <t>U;w fVgjh ls cqMksxh eksVj ekxZ LVst&amp;2</t>
  </si>
  <si>
    <t>UT 11-21</t>
  </si>
  <si>
    <t>05.10.09</t>
  </si>
  <si>
    <t>fdyfdys'oj ls uSFkkuk eksVj ekxZ LVst&amp;2</t>
  </si>
  <si>
    <t>UT 11-22</t>
  </si>
  <si>
    <t>M/s Mohan &amp; Mohan Construction</t>
  </si>
  <si>
    <t>05.11.09</t>
  </si>
  <si>
    <t>enuusxh ls [kksyk eksVj ekxZ LVst&amp;2</t>
  </si>
  <si>
    <t>UT 11-23</t>
  </si>
  <si>
    <t>xwyj ls ukbZ&amp;feuMkFk eksVj ekxZ LVst&amp;2</t>
  </si>
  <si>
    <t>UT 11-24</t>
  </si>
  <si>
    <t>22.02.10</t>
  </si>
  <si>
    <t>Kandhla Bend (Tipri) to Katkhet Motor Road, (L041)</t>
  </si>
  <si>
    <t>14.05.15</t>
  </si>
  <si>
    <t>Kharirar to Bhut Gaon Motor Road (L040)</t>
  </si>
  <si>
    <t>Jai Gopal Associates</t>
  </si>
  <si>
    <t>Teva to Ontar Motor Road (L033)</t>
  </si>
  <si>
    <t>Vijay Singh Panwar</t>
  </si>
  <si>
    <t>08.02.11</t>
  </si>
  <si>
    <t>07.11.11</t>
  </si>
  <si>
    <t>ugha iM+rh gSA</t>
  </si>
  <si>
    <t>Bangar to Chanagaon Motor Road, (L031)</t>
  </si>
  <si>
    <t>Bagi to Haleth-Silari Motor Road, (L038)</t>
  </si>
  <si>
    <t>Rukam Chand Ramola, Tehri</t>
  </si>
  <si>
    <t>24.02.11</t>
  </si>
  <si>
    <t>23.02.12</t>
  </si>
  <si>
    <t>Dyolyang to Bhat Gaon Motor Road, (L049)</t>
  </si>
  <si>
    <t>Betal Singh Kumain</t>
  </si>
  <si>
    <t>Bhelunta to Mayahaleth Motor Road, (L030)</t>
  </si>
  <si>
    <t>M/s Pooran Chandra Ramola &amp; Bros.</t>
  </si>
  <si>
    <t>19.03.12</t>
  </si>
  <si>
    <t>Sirkholi to Bharpur Motor Road, Stage-II (L037)</t>
  </si>
  <si>
    <t>RR Constt., Tehri</t>
  </si>
  <si>
    <t>Sirkholi to Godari-Kyarki Motor Road, Stage-II (L035)</t>
  </si>
  <si>
    <t>Puran Chandra Ramola &amp; Bros.</t>
  </si>
  <si>
    <t>30.04.12</t>
  </si>
  <si>
    <t>Dhopardhar to Saman Gaon Motor Road, (L043)</t>
  </si>
  <si>
    <t>Saurpani to Chamrada Devi Motor Road, Stage-II (L021)</t>
  </si>
  <si>
    <t>Sharda Associates</t>
  </si>
  <si>
    <t>Hindolakhal to Palethi-Malu-Maror Motor Road, (L035)</t>
  </si>
  <si>
    <t>11.03.15</t>
  </si>
  <si>
    <t>10.03.16</t>
  </si>
  <si>
    <t>Sirkholi to Godari-Kyarki Motor Road Km 14 (Syansu Bridge) to Chaundhar Motor Road, Stage-II</t>
  </si>
  <si>
    <t>Sanjay Constt.</t>
  </si>
  <si>
    <t>Uniyalgaon to Kotalgaon Motor Road, Stage-II (L024)</t>
  </si>
  <si>
    <t>Dung to Dung Khabogi Motor Road, Stage-II (L028)</t>
  </si>
  <si>
    <t>UT 11-26</t>
  </si>
  <si>
    <t>20.01.11</t>
  </si>
  <si>
    <t>19.02.12</t>
  </si>
  <si>
    <t>Jakhnidhar to Marora Motor Road, Stage-I &amp; II (L036)</t>
  </si>
  <si>
    <t>UT 11-27</t>
  </si>
  <si>
    <t>Gular-Nai-Mindath Motor Road Km 6.00 to Chameli Motor Road, Stage-I</t>
  </si>
  <si>
    <t>Chamba-Ranichauri Motor Road to Maun Motor Road, Stage-I &amp; II</t>
  </si>
  <si>
    <t>22.05.14</t>
  </si>
  <si>
    <t>Kail (Kol) to Kudarna Motor Road, Stage-I</t>
  </si>
  <si>
    <t>Chandramauleshwar Associates</t>
  </si>
  <si>
    <t>Pratapnagar-Tehri Motor Road Km 20.00 to Kaflog Motor Road, Stage-II</t>
  </si>
  <si>
    <t>Gariraj (Rajputo Ki) to Kordi Motor Road, Stage-II</t>
  </si>
  <si>
    <t>DK Builders</t>
  </si>
  <si>
    <t xml:space="preserve">Rampur-Shyampur Motor Road Km 6 to Gordikanda-Sajwankanda-Bamana-Baunth Motor Road, Stage-I </t>
  </si>
  <si>
    <t>Sharda Associate JV</t>
  </si>
  <si>
    <t>09.12.13</t>
  </si>
  <si>
    <t>08.06.15</t>
  </si>
  <si>
    <t>Work in Progress/ Transferred</t>
  </si>
  <si>
    <t>Khambakhal to Baldogi Motor Road, Stage-I</t>
  </si>
  <si>
    <t>05.06.13</t>
  </si>
  <si>
    <t>04.09.14</t>
  </si>
  <si>
    <t xml:space="preserve">Binkakhal to Kundi Motor Road, Stage-I </t>
  </si>
  <si>
    <t>Raghubeer Singh Sajwan</t>
  </si>
  <si>
    <t>Muliya Gaon to Palethi Motor Road, Stage-II</t>
  </si>
  <si>
    <t>Hindolakhal to Unana Motor Road, Stage-II</t>
  </si>
  <si>
    <t>Shivpuri to Timli Motor Road, Stage-II</t>
  </si>
  <si>
    <t>02.04.13</t>
  </si>
  <si>
    <t>Nai Silkani to Mathiyali Motor Road, Stage-II</t>
  </si>
  <si>
    <t>Shail Shikar Builders</t>
  </si>
  <si>
    <t>21.11.14</t>
  </si>
  <si>
    <t>Mathiyali to Majiyari Motor Road, Stage-I</t>
  </si>
  <si>
    <t>Khatwar Band to Ringoli Malli Motor Road, Stage-II</t>
  </si>
  <si>
    <t>28.05.14</t>
  </si>
  <si>
    <t>Tipri to Chahgadoliya Motor Road, Stage-II</t>
  </si>
  <si>
    <t>Pilkhi to Venchuri Motor Road, Stage-II</t>
  </si>
  <si>
    <t>Sharda Associate</t>
  </si>
  <si>
    <t>Sendul-Konti-Bagangaon-Kireth-Paturgaon Motor Road,Stage-II</t>
  </si>
  <si>
    <t>Rajiv Kandari</t>
  </si>
  <si>
    <t>Budhakedar-Ragsys-Maid Motor Road, Stage-II</t>
  </si>
  <si>
    <t>Chamba-Dharasu Motor Road to Kyulagi Motor Road, Stage-II</t>
  </si>
  <si>
    <t>Arya Constt. Co.</t>
  </si>
  <si>
    <t>18.11.13</t>
  </si>
  <si>
    <t>17.11.14</t>
  </si>
  <si>
    <t>Bichu Link Road to Bichu Motor Road, Stage-II</t>
  </si>
  <si>
    <t>Nagtibba Nirman</t>
  </si>
  <si>
    <t>02.03.14</t>
  </si>
  <si>
    <t>Khola to Dharpyankoti Motor Road, Stage-II</t>
  </si>
  <si>
    <t>28.11.14</t>
  </si>
  <si>
    <t>Naini to Pathwara Motor Road, Stage-II</t>
  </si>
  <si>
    <t>UT 11-25</t>
  </si>
  <si>
    <t>Pakh to Doni Palli Motor Road, Stage-II</t>
  </si>
  <si>
    <t>18.02.14</t>
  </si>
  <si>
    <t>17.02.15</t>
  </si>
  <si>
    <t>Thati to Kot Toli Motor Road, Stage-II</t>
  </si>
  <si>
    <t>Beer Chandra Ramola JV</t>
  </si>
  <si>
    <t>20.12.13</t>
  </si>
  <si>
    <t>19.12.14</t>
  </si>
  <si>
    <t>Dhamatoli to Chhanjatalli Motor Road, Stage-II</t>
  </si>
  <si>
    <t>M/s A.K. Const.</t>
  </si>
  <si>
    <t>Manjat (Manjab) to Khet Motor Road, Stage-I&amp;II</t>
  </si>
  <si>
    <t>Puran Chand Ramola &amp; Bros.</t>
  </si>
  <si>
    <t>Sunkhet to Molga-Kotalgaon Motor Road, Stage-I&amp;II</t>
  </si>
  <si>
    <t>DK Constt. JV</t>
  </si>
  <si>
    <t>27.11.15</t>
  </si>
  <si>
    <t>Bhatwara to Kastal Motor Road, Stage-I&amp;II</t>
  </si>
  <si>
    <t>Ghuttu to Gwana Talla Motor Road, Stage-I&amp;II</t>
  </si>
  <si>
    <t>Ghansali-Tehri-Pratapnagar Rd. Km 33 to Burant Motor Road, Stage-I&amp;II</t>
  </si>
  <si>
    <t>17.11.16</t>
  </si>
  <si>
    <t>Manjal (Manjaf) to Sukri Motor Road, Stage-I&amp;II</t>
  </si>
  <si>
    <t>Dhan Pal Chand Ramola</t>
  </si>
  <si>
    <t>Maletha to Badon Motor Road, Stage-I&amp;II</t>
  </si>
  <si>
    <t>07.07.15</t>
  </si>
  <si>
    <t>06.01.17</t>
  </si>
  <si>
    <t>Ransalidhar to Gujetha Motor Road, Stage-I&amp;II</t>
  </si>
  <si>
    <t>19.06.15</t>
  </si>
  <si>
    <t>18.09.16</t>
  </si>
  <si>
    <t>Narendranagar to Neer Motor Road, Stage-I&amp;II</t>
  </si>
  <si>
    <t>N'nagr</t>
  </si>
  <si>
    <t>Adwani to Odada Motor Road, Stage-I&amp;II</t>
  </si>
  <si>
    <t>21.02.16</t>
  </si>
  <si>
    <t>Thatyur to Agyana Motor Road, Stage-I&amp;II</t>
  </si>
  <si>
    <t>JaiDurge Trading &amp; Constt.</t>
  </si>
  <si>
    <t>16.01.15</t>
  </si>
  <si>
    <t>15.04.16</t>
  </si>
  <si>
    <t>Rampur-Shyampur M/R Km 9 to Dansara Motor Road, Stage-I&amp;II</t>
  </si>
  <si>
    <t>01.12.15</t>
  </si>
  <si>
    <t>Hindolakhal to Durogi Motor Road, Stage-I&amp;II</t>
  </si>
  <si>
    <t>Hindolakhal to Koti Motor Road, Stage-I&amp;II</t>
  </si>
  <si>
    <t>Puran Chand Ramola</t>
  </si>
  <si>
    <t>Nagni to Bhutusain Motor Road, Stage-I&amp;II</t>
  </si>
  <si>
    <t>UT 11-29</t>
  </si>
  <si>
    <t>Shail Shikhar Bldrs.</t>
  </si>
  <si>
    <t>Chatiyara to Kepars Motor Road, Stage-I&amp;II</t>
  </si>
  <si>
    <t>UT 11-30</t>
  </si>
  <si>
    <t xml:space="preserve"> 25.08.16</t>
  </si>
  <si>
    <t>Sitakot to Banali Motor Road, Stage-I&amp;II</t>
  </si>
  <si>
    <t>UT 11-31</t>
  </si>
  <si>
    <t>Raghubir Singh Sajwan</t>
  </si>
  <si>
    <t>19.04.16</t>
  </si>
  <si>
    <t>Km 23 of NH 34 to Soni  Motor Road, Stage-I&amp;II</t>
  </si>
  <si>
    <t>UT 11-32</t>
  </si>
  <si>
    <t>14.08.14</t>
  </si>
  <si>
    <t>13.08.15</t>
  </si>
  <si>
    <t>Narendranagar-Rani Pokhari Rd. Km 8 to Dagar Motor Road, Stage-I&amp;II</t>
  </si>
  <si>
    <t>UT 11-33</t>
  </si>
  <si>
    <t>Pilkhi to Dwari Motor Road, Stage-I</t>
  </si>
  <si>
    <t>UT 11-34</t>
  </si>
  <si>
    <t>Saransgaon to Khola Motor Road, Stage-II</t>
  </si>
  <si>
    <t>Koti to Chanji Dakhwangaon Motor Road, Stage-II</t>
  </si>
  <si>
    <t>Bhagwan Singh Sajwan JV</t>
  </si>
  <si>
    <t>Mungrali to Jhinwali Motor Road, Stage-I&amp;II</t>
  </si>
  <si>
    <t>Khola (Purani Jhirkoti) to Kaproli Motor Road, Stage-II</t>
  </si>
  <si>
    <t>29.11.15</t>
  </si>
  <si>
    <t>Bangar to Chhanan Motor Road, Stage-II</t>
  </si>
  <si>
    <t>Jai Gopal</t>
  </si>
  <si>
    <t>Teva (Thatyar) to Ontar Motor Road, Stage-II</t>
  </si>
  <si>
    <t>UT 11-28</t>
  </si>
  <si>
    <t>03.10.15</t>
  </si>
  <si>
    <t xml:space="preserve">cktiqj csfj;k nkSyr ekxZ </t>
  </si>
  <si>
    <t>UT 12-01</t>
  </si>
  <si>
    <t>Bajpur</t>
  </si>
  <si>
    <t xml:space="preserve">eykfj;k ekxZ </t>
  </si>
  <si>
    <t>e&gt;ksyk ejeksyk fdeh0 7&amp;8</t>
  </si>
  <si>
    <t>UT 12-02</t>
  </si>
  <si>
    <t>Khatima</t>
  </si>
  <si>
    <t xml:space="preserve">ih0 ds0 ekxZ ls ,u0,p0&amp;74 fdeh0 249 gYnwok ekxZ </t>
  </si>
  <si>
    <t>Sitarganj</t>
  </si>
  <si>
    <t xml:space="preserve">cktiqj fujh{k.k Hkou ekxZ </t>
  </si>
  <si>
    <t>fiify;k ekxZ</t>
  </si>
  <si>
    <t>fVgjh&amp;eqjknkckn ,l0,p0&amp;41 fdeh0 346 ls clbZ</t>
  </si>
  <si>
    <t>Kashipur</t>
  </si>
  <si>
    <t>13.04.04</t>
  </si>
  <si>
    <t>dk'khiqj &amp;vYkhxat ls fxUuh[ksM+k</t>
  </si>
  <si>
    <t>cjsyh&amp;gfj}kj ,u0,p0&amp;74 fdeh0 263 ls ljdkjk</t>
  </si>
  <si>
    <t xml:space="preserve">fHkrkSjk ls Hkhrk vdcj ekxZ </t>
  </si>
  <si>
    <t xml:space="preserve">flrkjxat&amp;udqfy;k ekxZ fdeh0 6 ls ykSdk fHkrkSjk </t>
  </si>
  <si>
    <t>flrkjxat&amp;udqfy;k ekxZ fdeh0 5 ls xxuiqj&amp;dSyk'kiqjh</t>
  </si>
  <si>
    <t>ukudeRrk&amp;fVdqjh&amp;julkyh fdeh0&amp;6 ls lqu[ksM+k&amp;dkSa/kk[ksM+k&amp;/kwe[ksM+k</t>
  </si>
  <si>
    <t>ukudeRrk&amp;fVdqjh&amp;julkyh ls fVdqu</t>
  </si>
  <si>
    <t>UT 12-03</t>
  </si>
  <si>
    <t>19.05.04</t>
  </si>
  <si>
    <t>dSFkqfy;k ls cjdhMk.Mk</t>
  </si>
  <si>
    <t xml:space="preserve">'kfDrQkeZ tsy dSEi ekxZ fdeh0&amp;4 ls jathruxj </t>
  </si>
  <si>
    <t>UT 12-04</t>
  </si>
  <si>
    <t xml:space="preserve">:nziqj ls HkfDruxj ekxZ </t>
  </si>
  <si>
    <t xml:space="preserve">cky[ksM+k ls [kefj;k ekxZ </t>
  </si>
  <si>
    <t>ikuhir&amp;[kVhek ekxZ fdeh0&amp;334 ls rqjdk fVlkSj</t>
  </si>
  <si>
    <t xml:space="preserve">phryckx gjS;k ¼,y&amp;52½ ls ljkSatk eksVj ekxZ </t>
  </si>
  <si>
    <t>M/s AK Traders</t>
  </si>
  <si>
    <t>02.01.06</t>
  </si>
  <si>
    <t>01.01.07</t>
  </si>
  <si>
    <t>31.01.07</t>
  </si>
  <si>
    <t xml:space="preserve">fllbZ[ksM+k&amp;lk/kquxj ekxZ ¼,y&amp;1½ ls HkjkSuh eksVj ekxZ </t>
  </si>
  <si>
    <t>18.06.05</t>
  </si>
  <si>
    <t>17.06.06</t>
  </si>
  <si>
    <t xml:space="preserve">vks0Mh0vkj0&amp;37 fdeh0&amp;7 ls NksVh cM+h cxqfy;k eksVj ekxZ </t>
  </si>
  <si>
    <t>,u0,p0&amp;125 ds fdeh0&amp;31 ls Fkk:&amp;fVxjh eksVj ekxZ</t>
  </si>
  <si>
    <t>09.03.06</t>
  </si>
  <si>
    <t>nsouxj ls caxkyh dkWyksuh eksVj ekxZ</t>
  </si>
  <si>
    <t>xksfoUnuxj ls lqHkk"kuxj eksVj ekxZ</t>
  </si>
  <si>
    <t>nsodyh ls lkyeV~Vk eksVj ekxZ</t>
  </si>
  <si>
    <t>Nanakmatta</t>
  </si>
  <si>
    <t>Qtyiqj ls U;w vkcknh lhidk eksVj ekxZ LVst&amp;2 ds dk;Z</t>
  </si>
  <si>
    <t>Jaspur</t>
  </si>
  <si>
    <t>K'godam</t>
  </si>
  <si>
    <t>M/s Chauhan Engg.</t>
  </si>
  <si>
    <t>16.12.10</t>
  </si>
  <si>
    <t>15.12.11</t>
  </si>
  <si>
    <t>ukudeRrk&amp;gjnkliqj ekxZ ls ekSgEenxat eksVj ekxZ LVst&amp;2 ds dk;Z</t>
  </si>
  <si>
    <t>03.06.08</t>
  </si>
  <si>
    <t>phryckx gjS;k ¼,y&amp;52½ ls ljkSatk eksVj ekxZ LVst&amp;2 ds dk;Z</t>
  </si>
  <si>
    <t>M/s A.K. Traders</t>
  </si>
  <si>
    <t>fllbZ[ksM+k&amp;lk/kquxj ekxZ ¼,y&amp;1½ ls HkjkSuh eksVj ekxZ LVst&amp;2 ds dk;Z</t>
  </si>
  <si>
    <t>,e0Mh0vkj0&amp;39 ls NksVh cM+h cxqfy;k eksVj ekxZ LVst&amp;2 ds dk;Z</t>
  </si>
  <si>
    <t>[kLlhckx ¼xkaxh fx/kkSj½ ls ,sprk eksVj ekxZ LVst&amp;1 ,oa LVst&amp;2 ds dk;Z</t>
  </si>
  <si>
    <t>18.07.08</t>
  </si>
  <si>
    <t>17.03.11</t>
  </si>
  <si>
    <t>31.12.12</t>
  </si>
  <si>
    <t>[kLlhckx ¼xkaxh fx/kkSj½ ls ,sprk eksVj ekxZ ij 80eh0 Liku dk lsrq</t>
  </si>
  <si>
    <t>UT 12-05</t>
  </si>
  <si>
    <t>NH 74 to Malpura-Deyodhar Motor Road, Stage-I &amp; II (L63)</t>
  </si>
  <si>
    <t>11.02.11</t>
  </si>
  <si>
    <t>10.11.11</t>
  </si>
  <si>
    <t>jktLrsj jktx&lt;+h eksVj ekxZ fdeh0&amp;0&amp;6</t>
  </si>
  <si>
    <t>UT 13-01</t>
  </si>
  <si>
    <t>Purola</t>
  </si>
  <si>
    <t>jktLrsj jktx&lt;+h eksVj ekxZ fdeh0&amp;6&amp;12</t>
  </si>
  <si>
    <t>UT 13-02</t>
  </si>
  <si>
    <t xml:space="preserve">dqok dQukSy eksVj ekxZ </t>
  </si>
  <si>
    <t>UT 13-03</t>
  </si>
  <si>
    <t>Yamunotri</t>
  </si>
  <si>
    <t>ikFkjxkM+ uUnxkao eksVj ekxZ</t>
  </si>
  <si>
    <t>UT 13-04</t>
  </si>
  <si>
    <t xml:space="preserve">czºe[kky ls twUxk eksVj ekxZ </t>
  </si>
  <si>
    <t>30.11.07</t>
  </si>
  <si>
    <t>_f"kds'k&amp;xaxks=h eksVj ekxZ ls ckSu</t>
  </si>
  <si>
    <t>UT 13-05</t>
  </si>
  <si>
    <t>Gangotri</t>
  </si>
  <si>
    <t xml:space="preserve">/kkSUrjh &amp; Jhxkao eksVj ekxZ </t>
  </si>
  <si>
    <t>M/s Border Bldrs</t>
  </si>
  <si>
    <t>14.02.08</t>
  </si>
  <si>
    <t>13.02.09</t>
  </si>
  <si>
    <t xml:space="preserve">gLrkUrfjrA </t>
  </si>
  <si>
    <t xml:space="preserve">ukSxkao&amp;ikSaVh&amp;jktx&lt;+h ekxZ ls ikSaVh eksVj ekxZ </t>
  </si>
  <si>
    <t>M/s Ram Krishna Jyara</t>
  </si>
  <si>
    <t>07.01.06</t>
  </si>
  <si>
    <t xml:space="preserve">xaxksjh &amp; mRrjkSa eksVj ekxZ </t>
  </si>
  <si>
    <t>M/s Jaiveer Singh Vijendra Singh</t>
  </si>
  <si>
    <t xml:space="preserve">yk[kke.My&amp;Hkudksyh eksVj ekxZ </t>
  </si>
  <si>
    <t>Smt. Indra Chauhan</t>
  </si>
  <si>
    <t xml:space="preserve">QwypV~Vh&amp;[kjlkyh eksVj ekxZ </t>
  </si>
  <si>
    <t>21.12.05</t>
  </si>
  <si>
    <t>dk;Z iw.kZ@  ya0&amp;2-75 fdeh0] iw.kZ ya0&amp;2-00 fdeh0</t>
  </si>
  <si>
    <t xml:space="preserve">yk[kke.My ls Hkudksyh ekxZ ij 36eh0 Liku ds lsrq dk fuekZ.k </t>
  </si>
  <si>
    <t xml:space="preserve">UT 13-03 </t>
  </si>
  <si>
    <t>11.08.05</t>
  </si>
  <si>
    <t xml:space="preserve">QwypV~Vh ls [kjlkyh ekxZ ds fdeh0&amp;9 ij 36eh0 Liku ds lsrq dk fuekZ.k </t>
  </si>
  <si>
    <t xml:space="preserve">UT 13-04 </t>
  </si>
  <si>
    <t>M/s Hari Singh Rana</t>
  </si>
  <si>
    <t>10.08.06</t>
  </si>
  <si>
    <t xml:space="preserve">_f"kds'k eaxks=h ekxZ ls ckSu ekxZ ds fdeh0&amp;1-75 ij 36eh0 Liku ds lsrq dk fuekZ.k </t>
  </si>
  <si>
    <t xml:space="preserve">UT 13-05 </t>
  </si>
  <si>
    <t>M/s Rana Constt., Uttarkashi</t>
  </si>
  <si>
    <t>07.04.05</t>
  </si>
  <si>
    <t xml:space="preserve">/kkSUrjh &amp; Jhxkao ekxZ ds fdeh0&amp;0-225 ij 60eh0 Liku ds lsrq dk fuekZ.k  </t>
  </si>
  <si>
    <t xml:space="preserve">UT 13-06 </t>
  </si>
  <si>
    <t>28.03.05</t>
  </si>
  <si>
    <t xml:space="preserve">/kkSUrjh &amp; Jhxkao ekxZ ij 15eh0 Liku ds 03 lsrqvksa dk fuekZ.k ,oa xaxksjh ls mRrjkSa ekxZ ij 15eh0 Liku ds 02 lsrqvksa dk fuekZ.k </t>
  </si>
  <si>
    <t xml:space="preserve">UT 13-07 </t>
  </si>
  <si>
    <t>cM+dksV ls HkkfV;k eksVj ekxZ</t>
  </si>
  <si>
    <t>13.03.06</t>
  </si>
  <si>
    <t>vks-Mh-vkj- &amp; 6 ¼eksjh½ ls uubZ eksVj ekxZ</t>
  </si>
  <si>
    <t>M/s Devendra Constt.</t>
  </si>
  <si>
    <t>,eMhvkj&amp;5 ds fdeh0&amp;65 ls fd'kuiqj eksVj ekxZ</t>
  </si>
  <si>
    <t>27.11.09</t>
  </si>
  <si>
    <t>[kkylh lEidZ ekxZ ls [kkylh xkao eksVj ekxZ</t>
  </si>
  <si>
    <t>M/s Roop Ram Bhatt</t>
  </si>
  <si>
    <t>27.12.06</t>
  </si>
  <si>
    <t>,u,p&amp;94 fd-eh- 188 ¼[kjknh½ ls uxk.k xkao eksVj ekxZ</t>
  </si>
  <si>
    <t xml:space="preserve">jktx&lt;+h&amp;ljukSy ekxZ dk xaxVkM+h ls vkxs ljukSy rd foLrkj </t>
  </si>
  <si>
    <t>04.05.07</t>
  </si>
  <si>
    <t>03.05.08</t>
  </si>
  <si>
    <t>xaxksjh ls ukYM eksVj ekxZ</t>
  </si>
  <si>
    <t>M/s Valley Constt.</t>
  </si>
  <si>
    <t>29.03.08</t>
  </si>
  <si>
    <t>,u,p 94 ls [kqjeksyk&amp;ukxxkao eksVj ekxZ</t>
  </si>
  <si>
    <t>10.02.09</t>
  </si>
  <si>
    <t>/kjklw fpU;kyhlkSM+ ekxZ fdeh&amp;34 ls tksxr eYyk eksVj ekxZ</t>
  </si>
  <si>
    <t xml:space="preserve">[kjknh ls uxk.kxkao eksVj ekxZ ij 60eh0 Liku ds lsrq dk fuekZ.k </t>
  </si>
  <si>
    <t>30.05.08</t>
  </si>
  <si>
    <t>udqjh ls cjlkyh eufylsjk dqalh eksVj ekxZ</t>
  </si>
  <si>
    <t>UT 13-06</t>
  </si>
  <si>
    <t>M/s Mahendra Singh Chauhan</t>
  </si>
  <si>
    <t>04.04.10</t>
  </si>
  <si>
    <t>03.04.11</t>
  </si>
  <si>
    <t>cUnjdksV ls ifUt;kyk eksVj ekxZ</t>
  </si>
  <si>
    <t>Kapoor Infra./
Jai Gopal Associates</t>
  </si>
  <si>
    <t>14.10.09/
30.12.13</t>
  </si>
  <si>
    <t>13.10.10/
29.12.14</t>
  </si>
  <si>
    <t>[kjlkjh ls thok.kw eksVj ekxZ</t>
  </si>
  <si>
    <t>24.05.12</t>
  </si>
  <si>
    <t>iqjksyk&amp;[kykM+h ls [kykM+h eksVj ekxZ</t>
  </si>
  <si>
    <t>M/s Ajab Singh Rana</t>
  </si>
  <si>
    <t>pksiM+k&amp;ljksV ekxZ fdeh0&amp;92 ls dkalh eksVj ekxZ</t>
  </si>
  <si>
    <t>;kstuk ls fujLr fd;k tkuk gSA</t>
  </si>
  <si>
    <t>n.kek.kxkao&amp;iklk&amp;iks[kjh ls ukubZ Hknjklw eksVj ekxZ</t>
  </si>
  <si>
    <t>UT 13-07</t>
  </si>
  <si>
    <t>20.10.10</t>
  </si>
  <si>
    <t>pdjxkao&amp;cM+dksV ls duls: eksVj ekxZ</t>
  </si>
  <si>
    <t>UT 13-08</t>
  </si>
  <si>
    <t>10.11.12</t>
  </si>
  <si>
    <t>25.01.14</t>
  </si>
  <si>
    <t>eSunzFk ls HkDokM+ xkao eksVj ekxZ</t>
  </si>
  <si>
    <t>UT 13-09</t>
  </si>
  <si>
    <t>M/s Amrit Dwellers</t>
  </si>
  <si>
    <t>03.10.09</t>
  </si>
  <si>
    <t>02.06.11</t>
  </si>
  <si>
    <t>ikSaVh ls [kkUlh eksVj ekxZ</t>
  </si>
  <si>
    <t>UT 13-11</t>
  </si>
  <si>
    <t>10.01.13</t>
  </si>
  <si>
    <t>25.03.14</t>
  </si>
  <si>
    <t>dqUlkyk ls dqiM+k eksVj ekxZ</t>
  </si>
  <si>
    <t>UT 13-12</t>
  </si>
  <si>
    <t>fufonk 'kklu dks izsf"krA</t>
  </si>
  <si>
    <t>cM+ssFkh ls doka eksVj ekxZ</t>
  </si>
  <si>
    <t>UT 13-13</t>
  </si>
  <si>
    <t>ouHkwfe ls ckgjA</t>
  </si>
  <si>
    <t>,eMhvkj&amp;5 ls gqfYM;kuk eksVj ekxZ</t>
  </si>
  <si>
    <t>UT 13-14</t>
  </si>
  <si>
    <t>M/s R.R. Construction</t>
  </si>
  <si>
    <t>gqMksyh ik.khxkao ls dUrkM+h eksVj ekxZ</t>
  </si>
  <si>
    <t>UT 13-15</t>
  </si>
  <si>
    <t>ukdqjh ls flaxksB eksVj ekxZ</t>
  </si>
  <si>
    <t>UT 13-16</t>
  </si>
  <si>
    <t>/kjklw&amp;fpU;kyhlkSM+ ekxZ ls cudksV eksVj ekxZ</t>
  </si>
  <si>
    <t>UT 13-17</t>
  </si>
  <si>
    <t>20.08.16</t>
  </si>
  <si>
    <t>cM+sFkh&amp;cupkSjk&amp;cnzhxkM+ eksVj ekxZ ls fpyksV eksVj ekxZ</t>
  </si>
  <si>
    <t>UT 13-18</t>
  </si>
  <si>
    <t>09.03.12</t>
  </si>
  <si>
    <t>flYD;kjk&amp;cuxkao&amp;pksiM+k&amp;ljksV eksVj ekxZ ls cukM+h eksVj ekxZ</t>
  </si>
  <si>
    <t>UT 13-19</t>
  </si>
  <si>
    <t>cM+sFkh&amp;cupkSjk&amp;cnzhxkM+ eksVj ekxZ ls tks[k.kh eksVj ekxZ</t>
  </si>
  <si>
    <t>UT 13-20</t>
  </si>
  <si>
    <t>Gautam Associates</t>
  </si>
  <si>
    <t>27.12.13</t>
  </si>
  <si>
    <t>26.12.14</t>
  </si>
  <si>
    <t>tked ls c;k.kk eksVj ekxZ</t>
  </si>
  <si>
    <t>UT 13-21</t>
  </si>
  <si>
    <t>Jai Durge Trading &amp; Constt. Co.</t>
  </si>
  <si>
    <t>fufonk LohÑrA</t>
  </si>
  <si>
    <t>KkUlw ls KkUtk eksVj ekxZ</t>
  </si>
  <si>
    <t>UT 13-23</t>
  </si>
  <si>
    <t>36 Mtr. Span Steel Girder Bridge on Km 2 of NH-94 to Khurmola -Nag Gaon Motor Road (L030)</t>
  </si>
  <si>
    <t>08.11.11</t>
  </si>
  <si>
    <t>Jakhol to Liwari Motor Road, L033, Stage-I</t>
  </si>
  <si>
    <t>NH-94 to Khurmola-Naggaon Motor Road, Stage-II</t>
  </si>
  <si>
    <t>Kailash Constt.</t>
  </si>
  <si>
    <t>09.05.15</t>
  </si>
  <si>
    <t>Rajgarhi-Sarnol-Gangtaki-Sarnol Motor Road, Stage-II</t>
  </si>
  <si>
    <t>ODR-6(Mori) to Nanai Motor Road, Stage-II</t>
  </si>
  <si>
    <t>Khalsi Link to Khalsi Motor Road, Stage-II</t>
  </si>
  <si>
    <t>M/s Nabh Const. &amp; Develp. Pvt. Ltd.</t>
  </si>
  <si>
    <t>17.05.15</t>
  </si>
  <si>
    <t>Barkot to Bhatia Motor Road, Stage-II</t>
  </si>
  <si>
    <t>13.01.14</t>
  </si>
  <si>
    <t>Km 5 of MDR-65 to Kishanpur Motor Road, Stage-II</t>
  </si>
  <si>
    <t>Raghuveer Singh Sajwan</t>
  </si>
  <si>
    <t>Gangori to Nald Motor Road, Stage-II</t>
  </si>
  <si>
    <t>M/s Arya Const. Company</t>
  </si>
  <si>
    <t>21.11.13</t>
  </si>
  <si>
    <t>20.11.13</t>
  </si>
  <si>
    <t>Nagangaon to Khursil Motor Road, Stage-I</t>
  </si>
  <si>
    <t>Ram Krishna</t>
  </si>
  <si>
    <t>Purola-Khalari to Dharoli Motor Road, Upgradation</t>
  </si>
  <si>
    <t>UT 13-10</t>
  </si>
  <si>
    <t>Gangori to Dodital Motor Road, Upgradation</t>
  </si>
  <si>
    <t xml:space="preserve">Upendra Singh Rana </t>
  </si>
  <si>
    <t>Tender invited/ Under Forest</t>
  </si>
  <si>
    <t>Rebid-1/ Under Forest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</si>
</sst>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Kruti Dev 010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name val="Kruti Dev 010"/>
      <family val="0"/>
    </font>
    <font>
      <b/>
      <sz val="11"/>
      <color indexed="8"/>
      <name val="Kruti Dev 010"/>
      <family val="0"/>
    </font>
    <font>
      <b/>
      <sz val="12"/>
      <color indexed="8"/>
      <name val="Kruti Dev 010"/>
      <family val="0"/>
    </font>
    <font>
      <b/>
      <sz val="12"/>
      <color indexed="8"/>
      <name val="Times New Roman"/>
      <family val="1"/>
    </font>
    <font>
      <b/>
      <u val="single"/>
      <sz val="16"/>
      <color indexed="8"/>
      <name val="Kruti Dev 010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20"/>
      <name val="Kruti Dev 010"/>
      <family val="0"/>
    </font>
    <font>
      <u val="single"/>
      <sz val="20"/>
      <name val="Kruti Dev 010"/>
      <family val="0"/>
    </font>
    <font>
      <b/>
      <sz val="11"/>
      <name val="Kruti Dev 010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Kruti Dev 010"/>
      <family val="0"/>
    </font>
    <font>
      <sz val="11"/>
      <name val="Kruti Dev 010"/>
      <family val="0"/>
    </font>
    <font>
      <sz val="10"/>
      <name val="Kruti Dev 010"/>
      <family val="0"/>
    </font>
    <font>
      <u val="single"/>
      <sz val="11"/>
      <name val="Kruti Dev 010"/>
      <family val="0"/>
    </font>
    <font>
      <b/>
      <sz val="10"/>
      <name val="Kruti Dev 010"/>
      <family val="0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Kruti Dev 010"/>
      <family val="0"/>
    </font>
    <font>
      <sz val="8"/>
      <name val="Times New Roman"/>
      <family val="1"/>
    </font>
    <font>
      <b/>
      <sz val="12"/>
      <name val="Kruti Dev 010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Kruti Dev 10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Kruti Dev 010"/>
      <family val="0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u val="single"/>
      <sz val="16"/>
      <color theme="1"/>
      <name val="Kruti Dev 010"/>
      <family val="0"/>
    </font>
    <font>
      <b/>
      <sz val="12"/>
      <color theme="1"/>
      <name val="Times New Roman"/>
      <family val="1"/>
    </font>
    <font>
      <b/>
      <sz val="11"/>
      <color theme="1"/>
      <name val="Kruti Dev 010"/>
      <family val="0"/>
    </font>
    <font>
      <b/>
      <sz val="12"/>
      <color theme="1"/>
      <name val="Kruti Dev 010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2" fontId="71" fillId="33" borderId="10" xfId="0" applyNumberFormat="1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2" fontId="10" fillId="33" borderId="10" xfId="57" applyNumberFormat="1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8" applyFont="1" applyFill="1" applyBorder="1" applyAlignment="1">
      <alignment horizontal="center" vertical="center" wrapText="1"/>
      <protection/>
    </xf>
    <xf numFmtId="0" fontId="10" fillId="33" borderId="10" xfId="62" applyFont="1" applyFill="1" applyBorder="1" applyAlignment="1">
      <alignment horizontal="center" vertical="center" wrapText="1"/>
      <protection/>
    </xf>
    <xf numFmtId="2" fontId="10" fillId="33" borderId="10" xfId="65" applyNumberFormat="1" applyFont="1" applyFill="1" applyBorder="1" applyAlignment="1">
      <alignment horizontal="center" vertical="center" wrapText="1"/>
      <protection/>
    </xf>
    <xf numFmtId="0" fontId="10" fillId="33" borderId="11" xfId="58" applyFont="1" applyFill="1" applyBorder="1" applyAlignment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1" fontId="71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2" fillId="33" borderId="13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2" fontId="7" fillId="33" borderId="10" xfId="62" applyNumberFormat="1" applyFont="1" applyFill="1" applyBorder="1" applyAlignment="1">
      <alignment horizontal="center" vertical="center" wrapText="1"/>
      <protection/>
    </xf>
    <xf numFmtId="1" fontId="7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2" fontId="29" fillId="33" borderId="10" xfId="57" applyNumberFormat="1" applyFont="1" applyFill="1" applyBorder="1" applyAlignment="1">
      <alignment horizontal="center" vertical="center" wrapText="1"/>
      <protection/>
    </xf>
    <xf numFmtId="1" fontId="29" fillId="33" borderId="10" xfId="0" applyNumberFormat="1" applyFont="1" applyFill="1" applyBorder="1" applyAlignment="1" quotePrefix="1">
      <alignment horizontal="center" vertical="center" wrapText="1"/>
    </xf>
    <xf numFmtId="0" fontId="23" fillId="33" borderId="10" xfId="58" applyFont="1" applyFill="1" applyBorder="1" applyAlignment="1">
      <alignment horizontal="left" vertical="center" wrapText="1"/>
      <protection/>
    </xf>
    <xf numFmtId="0" fontId="29" fillId="33" borderId="10" xfId="58" applyFont="1" applyFill="1" applyBorder="1" applyAlignment="1">
      <alignment horizontal="center" vertical="center" wrapText="1"/>
      <protection/>
    </xf>
    <xf numFmtId="2" fontId="29" fillId="33" borderId="10" xfId="58" applyNumberFormat="1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2" fontId="7" fillId="33" borderId="10" xfId="58" applyNumberFormat="1" applyFont="1" applyFill="1" applyBorder="1" applyAlignment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2" fontId="29" fillId="33" borderId="10" xfId="65" applyNumberFormat="1" applyFont="1" applyFill="1" applyBorder="1" applyAlignment="1">
      <alignment horizontal="center" vertical="center" wrapText="1"/>
      <protection/>
    </xf>
    <xf numFmtId="0" fontId="29" fillId="33" borderId="10" xfId="56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 quotePrefix="1">
      <alignment horizontal="left" vertical="center" wrapText="1"/>
    </xf>
    <xf numFmtId="0" fontId="23" fillId="33" borderId="14" xfId="0" applyFont="1" applyFill="1" applyBorder="1" applyAlignment="1">
      <alignment horizontal="center" vertical="center" wrapText="1"/>
    </xf>
    <xf numFmtId="2" fontId="23" fillId="33" borderId="10" xfId="56" applyNumberFormat="1" applyFont="1" applyFill="1" applyBorder="1" applyAlignment="1">
      <alignment horizontal="center" vertical="center" wrapText="1"/>
      <protection/>
    </xf>
    <xf numFmtId="2" fontId="19" fillId="33" borderId="10" xfId="56" applyNumberFormat="1" applyFont="1" applyFill="1" applyBorder="1" applyAlignment="1">
      <alignment horizontal="center" vertical="center" wrapText="1"/>
      <protection/>
    </xf>
    <xf numFmtId="0" fontId="29" fillId="33" borderId="10" xfId="0" applyFont="1" applyFill="1" applyBorder="1" applyAlignment="1">
      <alignment horizontal="center" vertical="center"/>
    </xf>
    <xf numFmtId="1" fontId="28" fillId="33" borderId="10" xfId="0" applyNumberFormat="1" applyFont="1" applyFill="1" applyBorder="1" applyAlignment="1">
      <alignment horizontal="center" vertical="center" wrapText="1"/>
    </xf>
    <xf numFmtId="0" fontId="7" fillId="33" borderId="10" xfId="62" applyFont="1" applyFill="1" applyBorder="1" applyAlignment="1">
      <alignment horizontal="center" vertical="center" wrapText="1"/>
      <protection/>
    </xf>
    <xf numFmtId="2" fontId="7" fillId="33" borderId="15" xfId="62" applyNumberFormat="1" applyFont="1" applyFill="1" applyBorder="1" applyAlignment="1">
      <alignment horizontal="center" vertical="center" wrapText="1"/>
      <protection/>
    </xf>
    <xf numFmtId="2" fontId="21" fillId="33" borderId="10" xfId="62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" fontId="7" fillId="33" borderId="10" xfId="58" applyNumberFormat="1" applyFont="1" applyFill="1" applyBorder="1" applyAlignment="1">
      <alignment horizontal="left" vertical="center" wrapText="1"/>
      <protection/>
    </xf>
    <xf numFmtId="0" fontId="21" fillId="33" borderId="10" xfId="58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left" vertical="center" wrapText="1"/>
      <protection/>
    </xf>
    <xf numFmtId="164" fontId="7" fillId="33" borderId="10" xfId="56" applyNumberFormat="1" applyFont="1" applyFill="1" applyBorder="1" applyAlignment="1">
      <alignment horizontal="center" vertical="center" wrapText="1"/>
      <protection/>
    </xf>
    <xf numFmtId="2" fontId="29" fillId="33" borderId="10" xfId="56" applyNumberFormat="1" applyFont="1" applyFill="1" applyBorder="1" applyAlignment="1">
      <alignment horizontal="center" vertical="center" wrapText="1"/>
      <protection/>
    </xf>
    <xf numFmtId="1" fontId="7" fillId="33" borderId="10" xfId="0" applyNumberFormat="1" applyFont="1" applyFill="1" applyBorder="1" applyAlignment="1">
      <alignment horizontal="left" vertical="center" wrapText="1"/>
    </xf>
    <xf numFmtId="2" fontId="7" fillId="33" borderId="10" xfId="56" applyNumberFormat="1" applyFont="1" applyFill="1" applyBorder="1" applyAlignment="1">
      <alignment horizontal="center" vertical="center"/>
      <protection/>
    </xf>
    <xf numFmtId="0" fontId="30" fillId="33" borderId="10" xfId="0" applyFont="1" applyFill="1" applyBorder="1" applyAlignment="1" quotePrefix="1">
      <alignment horizontal="left" vertical="center" wrapText="1"/>
    </xf>
    <xf numFmtId="0" fontId="7" fillId="33" borderId="10" xfId="56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164" fontId="7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58" applyNumberFormat="1" applyFont="1" applyFill="1" applyBorder="1" applyAlignment="1">
      <alignment horizontal="center" vertical="center" wrapText="1"/>
      <protection/>
    </xf>
    <xf numFmtId="0" fontId="29" fillId="33" borderId="10" xfId="0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60" applyFont="1" applyFill="1" applyBorder="1" applyAlignment="1">
      <alignment horizontal="center" vertical="center" wrapText="1"/>
      <protection/>
    </xf>
    <xf numFmtId="2" fontId="29" fillId="33" borderId="14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1" fontId="29" fillId="33" borderId="10" xfId="58" applyNumberFormat="1" applyFont="1" applyFill="1" applyBorder="1" applyAlignment="1">
      <alignment horizontal="center" vertical="center" wrapText="1"/>
      <protection/>
    </xf>
    <xf numFmtId="2" fontId="29" fillId="33" borderId="10" xfId="0" applyNumberFormat="1" applyFont="1" applyFill="1" applyBorder="1" applyAlignment="1" quotePrefix="1">
      <alignment horizontal="center" vertical="center" wrapText="1"/>
    </xf>
    <xf numFmtId="2" fontId="29" fillId="33" borderId="10" xfId="0" applyNumberFormat="1" applyFont="1" applyFill="1" applyBorder="1" applyAlignment="1" quotePrefix="1">
      <alignment horizontal="center" vertical="center"/>
    </xf>
    <xf numFmtId="2" fontId="29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58" applyNumberFormat="1" applyFont="1" applyFill="1" applyBorder="1" applyAlignment="1">
      <alignment horizontal="center" vertical="center" wrapText="1"/>
      <protection/>
    </xf>
    <xf numFmtId="1" fontId="29" fillId="33" borderId="10" xfId="58" applyNumberFormat="1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9" fillId="33" borderId="10" xfId="60" applyFont="1" applyFill="1" applyBorder="1" applyAlignment="1">
      <alignment horizontal="center" vertical="center" wrapText="1"/>
      <protection/>
    </xf>
    <xf numFmtId="2" fontId="29" fillId="33" borderId="14" xfId="0" applyNumberFormat="1" applyFont="1" applyFill="1" applyBorder="1" applyAlignment="1">
      <alignment horizontal="center" vertical="center" wrapText="1"/>
    </xf>
    <xf numFmtId="2" fontId="29" fillId="33" borderId="15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29" fillId="33" borderId="10" xfId="0" applyNumberFormat="1" applyFont="1" applyFill="1" applyBorder="1" applyAlignment="1">
      <alignment horizontal="center" vertical="center" wrapText="1"/>
    </xf>
    <xf numFmtId="2" fontId="29" fillId="33" borderId="10" xfId="58" applyNumberFormat="1" applyFont="1" applyFill="1" applyBorder="1" applyAlignment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164" fontId="29" fillId="33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2" fontId="29" fillId="33" borderId="10" xfId="63" applyNumberFormat="1" applyFont="1" applyFill="1" applyBorder="1" applyAlignment="1">
      <alignment horizontal="center" vertical="center" wrapText="1"/>
      <protection/>
    </xf>
    <xf numFmtId="2" fontId="24" fillId="33" borderId="10" xfId="56" applyNumberFormat="1" applyFont="1" applyFill="1" applyBorder="1" applyAlignment="1">
      <alignment horizontal="center" vertical="center" wrapText="1"/>
      <protection/>
    </xf>
    <xf numFmtId="1" fontId="7" fillId="33" borderId="10" xfId="61" applyNumberFormat="1" applyFont="1" applyFill="1" applyBorder="1" applyAlignment="1">
      <alignment horizontal="left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164" fontId="7" fillId="33" borderId="10" xfId="64" applyNumberFormat="1" applyFont="1" applyFill="1" applyBorder="1" applyAlignment="1">
      <alignment horizontal="center" vertical="center" wrapText="1"/>
      <protection/>
    </xf>
    <xf numFmtId="2" fontId="7" fillId="33" borderId="10" xfId="61" applyNumberFormat="1" applyFont="1" applyFill="1" applyBorder="1" applyAlignment="1">
      <alignment horizontal="center" vertical="center" wrapText="1"/>
      <protection/>
    </xf>
    <xf numFmtId="2" fontId="23" fillId="33" borderId="10" xfId="61" applyNumberFormat="1" applyFont="1" applyFill="1" applyBorder="1" applyAlignment="1">
      <alignment horizontal="center" vertical="center" wrapText="1"/>
      <protection/>
    </xf>
    <xf numFmtId="0" fontId="7" fillId="33" borderId="10" xfId="58" applyNumberFormat="1" applyFont="1" applyFill="1" applyBorder="1" applyAlignment="1">
      <alignment horizontal="left" vertical="center" wrapText="1"/>
      <protection/>
    </xf>
    <xf numFmtId="1" fontId="7" fillId="33" borderId="10" xfId="56" applyNumberFormat="1" applyFont="1" applyFill="1" applyBorder="1" applyAlignment="1">
      <alignment horizontal="left" vertical="center" wrapText="1"/>
      <protection/>
    </xf>
    <xf numFmtId="49" fontId="29" fillId="33" borderId="10" xfId="0" applyNumberFormat="1" applyFont="1" applyFill="1" applyBorder="1" applyAlignment="1">
      <alignment horizontal="center" vertical="center" wrapText="1"/>
    </xf>
    <xf numFmtId="1" fontId="29" fillId="33" borderId="10" xfId="0" applyNumberFormat="1" applyFont="1" applyFill="1" applyBorder="1" applyAlignment="1">
      <alignment horizontal="center" vertical="center" wrapText="1"/>
    </xf>
    <xf numFmtId="2" fontId="7" fillId="33" borderId="10" xfId="61" applyNumberFormat="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1" fontId="7" fillId="33" borderId="10" xfId="62" applyNumberFormat="1" applyFont="1" applyFill="1" applyBorder="1" applyAlignment="1">
      <alignment horizontal="left" vertical="center" wrapText="1"/>
      <protection/>
    </xf>
    <xf numFmtId="2" fontId="7" fillId="33" borderId="10" xfId="62" applyNumberFormat="1" applyFont="1" applyFill="1" applyBorder="1" applyAlignment="1">
      <alignment horizontal="center" vertical="center" wrapText="1"/>
      <protection/>
    </xf>
    <xf numFmtId="0" fontId="7" fillId="33" borderId="10" xfId="62" applyNumberFormat="1" applyFont="1" applyFill="1" applyBorder="1" applyAlignment="1">
      <alignment horizontal="left" vertical="center" wrapText="1"/>
      <protection/>
    </xf>
    <xf numFmtId="2" fontId="7" fillId="33" borderId="15" xfId="62" applyNumberFormat="1" applyFont="1" applyFill="1" applyBorder="1" applyAlignment="1">
      <alignment horizontal="center" vertical="center" wrapText="1"/>
      <protection/>
    </xf>
    <xf numFmtId="2" fontId="29" fillId="33" borderId="10" xfId="61" applyNumberFormat="1" applyFont="1" applyFill="1" applyBorder="1" applyAlignment="1">
      <alignment horizontal="center" vertical="center" wrapText="1"/>
      <protection/>
    </xf>
    <xf numFmtId="2" fontId="7" fillId="33" borderId="10" xfId="62" applyNumberFormat="1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left" vertical="center" wrapText="1"/>
      <protection/>
    </xf>
    <xf numFmtId="0" fontId="30" fillId="33" borderId="14" xfId="0" applyFont="1" applyFill="1" applyBorder="1" applyAlignment="1">
      <alignment horizontal="center" vertical="center" wrapText="1"/>
    </xf>
    <xf numFmtId="0" fontId="23" fillId="33" borderId="10" xfId="65" applyFont="1" applyFill="1" applyBorder="1" applyAlignment="1">
      <alignment horizontal="left" vertical="center" wrapText="1"/>
      <protection/>
    </xf>
    <xf numFmtId="0" fontId="29" fillId="33" borderId="10" xfId="65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0" fontId="30" fillId="33" borderId="14" xfId="58" applyFont="1" applyFill="1" applyBorder="1" applyAlignment="1">
      <alignment horizontal="center" vertical="center" wrapText="1"/>
      <protection/>
    </xf>
    <xf numFmtId="0" fontId="30" fillId="33" borderId="15" xfId="58" applyFont="1" applyFill="1" applyBorder="1" applyAlignment="1">
      <alignment horizontal="center" vertical="center" wrapText="1"/>
      <protection/>
    </xf>
    <xf numFmtId="0" fontId="32" fillId="33" borderId="10" xfId="0" applyFont="1" applyFill="1" applyBorder="1" applyAlignment="1">
      <alignment horizontal="center" vertical="center" wrapText="1"/>
    </xf>
    <xf numFmtId="0" fontId="7" fillId="33" borderId="10" xfId="62" applyFont="1" applyFill="1" applyBorder="1" applyAlignment="1">
      <alignment horizontal="center" vertical="center" wrapText="1"/>
      <protection/>
    </xf>
    <xf numFmtId="1" fontId="7" fillId="33" borderId="10" xfId="58" applyNumberFormat="1" applyFont="1" applyFill="1" applyBorder="1" applyAlignment="1">
      <alignment horizontal="center" vertical="center" wrapText="1"/>
      <protection/>
    </xf>
    <xf numFmtId="2" fontId="29" fillId="33" borderId="10" xfId="56" applyNumberFormat="1" applyFont="1" applyFill="1" applyBorder="1" applyAlignment="1">
      <alignment horizontal="center" vertical="center"/>
      <protection/>
    </xf>
    <xf numFmtId="2" fontId="31" fillId="33" borderId="10" xfId="0" applyNumberFormat="1" applyFont="1" applyFill="1" applyBorder="1" applyAlignment="1">
      <alignment horizontal="center" vertical="center" wrapText="1"/>
    </xf>
    <xf numFmtId="164" fontId="7" fillId="33" borderId="10" xfId="61" applyNumberFormat="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2" fontId="19" fillId="33" borderId="10" xfId="61" applyNumberFormat="1" applyFont="1" applyFill="1" applyBorder="1" applyAlignment="1">
      <alignment horizontal="center" vertical="center" wrapText="1"/>
      <protection/>
    </xf>
    <xf numFmtId="0" fontId="7" fillId="33" borderId="16" xfId="62" applyFont="1" applyFill="1" applyBorder="1" applyAlignment="1">
      <alignment horizontal="center" vertical="center" wrapText="1"/>
      <protection/>
    </xf>
    <xf numFmtId="2" fontId="7" fillId="33" borderId="16" xfId="62" applyNumberFormat="1" applyFont="1" applyFill="1" applyBorder="1" applyAlignment="1">
      <alignment horizontal="center" vertical="center" wrapText="1"/>
      <protection/>
    </xf>
    <xf numFmtId="2" fontId="7" fillId="33" borderId="14" xfId="62" applyNumberFormat="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left" vertical="center" wrapText="1"/>
      <protection/>
    </xf>
    <xf numFmtId="164" fontId="7" fillId="33" borderId="10" xfId="61" applyNumberFormat="1" applyFont="1" applyFill="1" applyBorder="1" applyAlignment="1">
      <alignment horizontal="center" vertical="center" wrapText="1"/>
      <protection/>
    </xf>
    <xf numFmtId="2" fontId="7" fillId="33" borderId="10" xfId="61" applyNumberFormat="1" applyFont="1" applyFill="1" applyBorder="1" applyAlignment="1">
      <alignment horizontal="center" vertical="center"/>
      <protection/>
    </xf>
    <xf numFmtId="2" fontId="23" fillId="33" borderId="14" xfId="61" applyNumberFormat="1" applyFont="1" applyFill="1" applyBorder="1" applyAlignment="1">
      <alignment horizontal="center" vertical="center" wrapText="1"/>
      <protection/>
    </xf>
    <xf numFmtId="2" fontId="29" fillId="33" borderId="10" xfId="59" applyNumberFormat="1" applyFont="1" applyFill="1" applyBorder="1" applyAlignment="1">
      <alignment horizontal="center" vertical="center" wrapText="1"/>
      <protection/>
    </xf>
    <xf numFmtId="0" fontId="29" fillId="33" borderId="10" xfId="56" applyFont="1" applyFill="1" applyBorder="1" applyAlignment="1">
      <alignment horizontal="center" vertical="center"/>
      <protection/>
    </xf>
    <xf numFmtId="2" fontId="29" fillId="33" borderId="14" xfId="63" applyNumberFormat="1" applyFont="1" applyFill="1" applyBorder="1" applyAlignment="1">
      <alignment horizontal="center" vertical="center" wrapText="1"/>
      <protection/>
    </xf>
    <xf numFmtId="0" fontId="23" fillId="33" borderId="10" xfId="58" applyFont="1" applyFill="1" applyBorder="1" applyAlignment="1" quotePrefix="1">
      <alignment horizontal="left" vertical="center" wrapText="1"/>
      <protection/>
    </xf>
    <xf numFmtId="1" fontId="29" fillId="33" borderId="10" xfId="60" applyNumberFormat="1" applyFont="1" applyFill="1" applyBorder="1" applyAlignment="1">
      <alignment horizontal="center" vertical="center" wrapText="1"/>
      <protection/>
    </xf>
    <xf numFmtId="1" fontId="29" fillId="33" borderId="10" xfId="56" applyNumberFormat="1" applyFont="1" applyFill="1" applyBorder="1" applyAlignment="1">
      <alignment horizontal="center" vertical="center" wrapText="1"/>
      <protection/>
    </xf>
    <xf numFmtId="0" fontId="29" fillId="33" borderId="10" xfId="61" applyFont="1" applyFill="1" applyBorder="1" applyAlignment="1">
      <alignment horizontal="center" vertical="center" wrapText="1"/>
      <protection/>
    </xf>
    <xf numFmtId="0" fontId="21" fillId="33" borderId="10" xfId="62" applyFont="1" applyFill="1" applyBorder="1" applyAlignment="1">
      <alignment horizontal="center" vertical="center" wrapText="1"/>
      <protection/>
    </xf>
    <xf numFmtId="2" fontId="21" fillId="33" borderId="10" xfId="56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29" fillId="33" borderId="10" xfId="60" applyFont="1" applyFill="1" applyBorder="1" applyAlignment="1">
      <alignment horizontal="center" vertical="center" wrapText="1"/>
      <protection/>
    </xf>
    <xf numFmtId="2" fontId="7" fillId="33" borderId="10" xfId="58" applyNumberFormat="1" applyFont="1" applyFill="1" applyBorder="1" applyAlignment="1">
      <alignment horizontal="center" vertical="center" wrapText="1"/>
      <protection/>
    </xf>
    <xf numFmtId="1" fontId="29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horizontal="center" vertical="center"/>
    </xf>
    <xf numFmtId="0" fontId="7" fillId="33" borderId="10" xfId="62" applyFont="1" applyFill="1" applyBorder="1" applyAlignment="1">
      <alignment horizontal="center" vertical="center" wrapText="1"/>
      <protection/>
    </xf>
    <xf numFmtId="2" fontId="7" fillId="33" borderId="10" xfId="62" applyNumberFormat="1" applyFont="1" applyFill="1" applyBorder="1" applyAlignment="1">
      <alignment horizontal="center" vertical="center" wrapText="1"/>
      <protection/>
    </xf>
    <xf numFmtId="2" fontId="7" fillId="33" borderId="14" xfId="62" applyNumberFormat="1" applyFont="1" applyFill="1" applyBorder="1" applyAlignment="1">
      <alignment horizontal="center" vertical="center" wrapText="1"/>
      <protection/>
    </xf>
    <xf numFmtId="2" fontId="7" fillId="33" borderId="15" xfId="62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 quotePrefix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2" fontId="29" fillId="33" borderId="14" xfId="0" applyNumberFormat="1" applyFont="1" applyFill="1" applyBorder="1" applyAlignment="1">
      <alignment horizontal="center" vertical="center" wrapText="1"/>
    </xf>
    <xf numFmtId="2" fontId="29" fillId="33" borderId="16" xfId="0" applyNumberFormat="1" applyFont="1" applyFill="1" applyBorder="1" applyAlignment="1">
      <alignment horizontal="center" vertical="center" wrapText="1"/>
    </xf>
    <xf numFmtId="2" fontId="29" fillId="33" borderId="15" xfId="0" applyNumberFormat="1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 quotePrefix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9" fillId="33" borderId="10" xfId="52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2" fontId="7" fillId="33" borderId="14" xfId="58" applyNumberFormat="1" applyFont="1" applyFill="1" applyBorder="1" applyAlignment="1">
      <alignment horizontal="center" vertical="center" wrapText="1"/>
      <protection/>
    </xf>
    <xf numFmtId="2" fontId="7" fillId="33" borderId="16" xfId="58" applyNumberFormat="1" applyFont="1" applyFill="1" applyBorder="1" applyAlignment="1">
      <alignment horizontal="center" vertical="center" wrapText="1"/>
      <protection/>
    </xf>
    <xf numFmtId="2" fontId="7" fillId="33" borderId="15" xfId="58" applyNumberFormat="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2" fontId="7" fillId="33" borderId="14" xfId="61" applyNumberFormat="1" applyFont="1" applyFill="1" applyBorder="1" applyAlignment="1">
      <alignment horizontal="center" vertical="center"/>
      <protection/>
    </xf>
    <xf numFmtId="2" fontId="7" fillId="33" borderId="15" xfId="61" applyNumberFormat="1" applyFont="1" applyFill="1" applyBorder="1" applyAlignment="1">
      <alignment horizontal="center" vertical="center"/>
      <protection/>
    </xf>
    <xf numFmtId="2" fontId="7" fillId="33" borderId="14" xfId="61" applyNumberFormat="1" applyFont="1" applyFill="1" applyBorder="1" applyAlignment="1">
      <alignment horizontal="center" vertical="center" wrapText="1"/>
      <protection/>
    </xf>
    <xf numFmtId="2" fontId="7" fillId="33" borderId="15" xfId="61" applyNumberFormat="1" applyFont="1" applyFill="1" applyBorder="1" applyAlignment="1">
      <alignment horizontal="center" vertical="center" wrapText="1"/>
      <protection/>
    </xf>
    <xf numFmtId="2" fontId="7" fillId="33" borderId="16" xfId="62" applyNumberFormat="1" applyFont="1" applyFill="1" applyBorder="1" applyAlignment="1">
      <alignment horizontal="center" vertical="center" wrapText="1"/>
      <protection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2" fontId="7" fillId="33" borderId="14" xfId="56" applyNumberFormat="1" applyFont="1" applyFill="1" applyBorder="1" applyAlignment="1">
      <alignment horizontal="center" vertical="center" wrapText="1"/>
      <protection/>
    </xf>
    <xf numFmtId="2" fontId="7" fillId="33" borderId="16" xfId="56" applyNumberFormat="1" applyFont="1" applyFill="1" applyBorder="1" applyAlignment="1">
      <alignment horizontal="center" vertical="center" wrapText="1"/>
      <protection/>
    </xf>
    <xf numFmtId="2" fontId="7" fillId="33" borderId="15" xfId="56" applyNumberFormat="1" applyFont="1" applyFill="1" applyBorder="1" applyAlignment="1">
      <alignment horizontal="center" vertical="center" wrapText="1"/>
      <protection/>
    </xf>
    <xf numFmtId="1" fontId="7" fillId="33" borderId="10" xfId="58" applyNumberFormat="1" applyFont="1" applyFill="1" applyBorder="1" applyAlignment="1">
      <alignment horizontal="center" vertical="center" wrapText="1"/>
      <protection/>
    </xf>
    <xf numFmtId="2" fontId="7" fillId="33" borderId="14" xfId="56" applyNumberFormat="1" applyFont="1" applyFill="1" applyBorder="1" applyAlignment="1">
      <alignment horizontal="center" vertical="center"/>
      <protection/>
    </xf>
    <xf numFmtId="2" fontId="7" fillId="33" borderId="15" xfId="56" applyNumberFormat="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2" fontId="7" fillId="33" borderId="10" xfId="61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 3 2" xfId="57"/>
    <cellStyle name="Normal 4" xfId="58"/>
    <cellStyle name="Normal 5" xfId="59"/>
    <cellStyle name="Normal 6" xfId="60"/>
    <cellStyle name="Normal 7 2" xfId="61"/>
    <cellStyle name="Normal 8 2" xfId="62"/>
    <cellStyle name="Normal_P-VII_Road list for GO" xfId="63"/>
    <cellStyle name="Normal_P-VIII_Road List for GO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uqcU/k@vokMZ%20dh%20/kujkf'k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uqcU/k@vokMZ%20dh%20/kujkf'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4"/>
  <sheetViews>
    <sheetView view="pageBreakPreview" zoomScaleNormal="90" zoomScaleSheetLayoutView="100" zoomScalePageLayoutView="0" workbookViewId="0" topLeftCell="A1">
      <pane ySplit="5" topLeftCell="A6" activePane="bottomLeft" state="frozen"/>
      <selection pane="topLeft" activeCell="D1" sqref="D1"/>
      <selection pane="bottomLeft" activeCell="D13" sqref="D13"/>
    </sheetView>
  </sheetViews>
  <sheetFormatPr defaultColWidth="9.140625" defaultRowHeight="15"/>
  <cols>
    <col min="1" max="1" width="3.8515625" style="7" customWidth="1"/>
    <col min="2" max="2" width="15.421875" style="7" hidden="1" customWidth="1"/>
    <col min="3" max="3" width="14.421875" style="7" customWidth="1"/>
    <col min="4" max="4" width="5.28125" style="7" customWidth="1"/>
    <col min="5" max="5" width="9.140625" style="7" customWidth="1"/>
    <col min="6" max="6" width="8.140625" style="7" customWidth="1"/>
    <col min="7" max="9" width="8.57421875" style="7" customWidth="1"/>
    <col min="10" max="10" width="5.421875" style="7" customWidth="1"/>
    <col min="11" max="11" width="8.28125" style="7" customWidth="1"/>
    <col min="12" max="12" width="8.57421875" style="7" customWidth="1"/>
    <col min="13" max="13" width="5.7109375" style="7" customWidth="1"/>
    <col min="14" max="14" width="7.7109375" style="7" customWidth="1"/>
    <col min="15" max="15" width="8.00390625" style="7" customWidth="1"/>
    <col min="16" max="16" width="6.140625" style="7" customWidth="1"/>
    <col min="17" max="17" width="8.140625" style="7" customWidth="1"/>
    <col min="18" max="18" width="8.57421875" style="7" customWidth="1"/>
    <col min="19" max="19" width="9.28125" style="7" hidden="1" customWidth="1"/>
    <col min="20" max="20" width="13.140625" style="7" hidden="1" customWidth="1"/>
    <col min="21" max="21" width="11.28125" style="7" hidden="1" customWidth="1"/>
    <col min="22" max="16384" width="9.140625" style="7" customWidth="1"/>
  </cols>
  <sheetData>
    <row r="1" spans="1:18" ht="21">
      <c r="A1" s="170" t="s">
        <v>104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7:18" ht="16.5">
      <c r="Q2" s="171" t="s">
        <v>103</v>
      </c>
      <c r="R2" s="171"/>
    </row>
    <row r="3" spans="1:21" s="19" customFormat="1" ht="18">
      <c r="A3" s="182" t="s">
        <v>0</v>
      </c>
      <c r="B3" s="182" t="s">
        <v>13</v>
      </c>
      <c r="C3" s="182" t="s">
        <v>1</v>
      </c>
      <c r="D3" s="182" t="s">
        <v>2</v>
      </c>
      <c r="E3" s="182"/>
      <c r="F3" s="182"/>
      <c r="G3" s="182" t="s">
        <v>7</v>
      </c>
      <c r="H3" s="182"/>
      <c r="I3" s="182"/>
      <c r="J3" s="182" t="s">
        <v>6</v>
      </c>
      <c r="K3" s="182"/>
      <c r="L3" s="182"/>
      <c r="M3" s="182" t="s">
        <v>8</v>
      </c>
      <c r="N3" s="182"/>
      <c r="O3" s="182"/>
      <c r="P3" s="182" t="s">
        <v>9</v>
      </c>
      <c r="Q3" s="182"/>
      <c r="R3" s="182"/>
      <c r="S3" s="182" t="s">
        <v>11</v>
      </c>
      <c r="T3" s="182"/>
      <c r="U3" s="182"/>
    </row>
    <row r="4" spans="1:21" s="19" customFormat="1" ht="18">
      <c r="A4" s="182"/>
      <c r="B4" s="182"/>
      <c r="C4" s="182"/>
      <c r="D4" s="2" t="s">
        <v>3</v>
      </c>
      <c r="E4" s="2" t="s">
        <v>4</v>
      </c>
      <c r="F4" s="2" t="s">
        <v>5</v>
      </c>
      <c r="G4" s="2" t="s">
        <v>3</v>
      </c>
      <c r="H4" s="2" t="s">
        <v>4</v>
      </c>
      <c r="I4" s="2" t="s">
        <v>5</v>
      </c>
      <c r="J4" s="2" t="s">
        <v>3</v>
      </c>
      <c r="K4" s="2" t="s">
        <v>4</v>
      </c>
      <c r="L4" s="2" t="s">
        <v>5</v>
      </c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s="20" customFormat="1" ht="12.75">
      <c r="A5" s="3">
        <v>1</v>
      </c>
      <c r="B5" s="3">
        <v>2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</row>
    <row r="6" spans="1:21" s="6" customFormat="1" ht="16.5">
      <c r="A6" s="18">
        <v>1</v>
      </c>
      <c r="B6" s="178" t="s">
        <v>10</v>
      </c>
      <c r="C6" s="9" t="s">
        <v>25</v>
      </c>
      <c r="D6" s="18">
        <v>8</v>
      </c>
      <c r="E6" s="4">
        <v>84.71</v>
      </c>
      <c r="F6" s="4">
        <v>29.67</v>
      </c>
      <c r="G6" s="18">
        <v>5</v>
      </c>
      <c r="H6" s="4">
        <v>40.21</v>
      </c>
      <c r="I6" s="4">
        <v>13.55</v>
      </c>
      <c r="J6" s="18">
        <v>3</v>
      </c>
      <c r="K6" s="4">
        <v>44.5</v>
      </c>
      <c r="L6" s="4">
        <v>16.12</v>
      </c>
      <c r="M6" s="18">
        <v>0</v>
      </c>
      <c r="N6" s="4">
        <v>0</v>
      </c>
      <c r="O6" s="4">
        <v>0</v>
      </c>
      <c r="P6" s="18">
        <v>0</v>
      </c>
      <c r="Q6" s="4">
        <v>0</v>
      </c>
      <c r="R6" s="4">
        <v>0</v>
      </c>
      <c r="S6" s="21">
        <f aca="true" t="shared" si="0" ref="S6:U11">J6+G6+M6+P6</f>
        <v>8</v>
      </c>
      <c r="T6" s="4">
        <f t="shared" si="0"/>
        <v>84.71000000000001</v>
      </c>
      <c r="U6" s="4">
        <f t="shared" si="0"/>
        <v>29.67</v>
      </c>
    </row>
    <row r="7" spans="1:21" s="6" customFormat="1" ht="16.5">
      <c r="A7" s="18">
        <v>2</v>
      </c>
      <c r="B7" s="178"/>
      <c r="C7" s="9" t="s">
        <v>105</v>
      </c>
      <c r="D7" s="18">
        <v>12</v>
      </c>
      <c r="E7" s="4">
        <v>97.11</v>
      </c>
      <c r="F7" s="4">
        <v>35.08</v>
      </c>
      <c r="G7" s="18">
        <v>7</v>
      </c>
      <c r="H7" s="4">
        <v>55.14</v>
      </c>
      <c r="I7" s="4">
        <v>15.81</v>
      </c>
      <c r="J7" s="18">
        <v>4</v>
      </c>
      <c r="K7" s="4">
        <v>26.5</v>
      </c>
      <c r="L7" s="4">
        <v>12.77</v>
      </c>
      <c r="M7" s="18">
        <v>1</v>
      </c>
      <c r="N7" s="4">
        <v>15.47</v>
      </c>
      <c r="O7" s="4">
        <v>6.5</v>
      </c>
      <c r="P7" s="18">
        <v>0</v>
      </c>
      <c r="Q7" s="4">
        <v>0</v>
      </c>
      <c r="R7" s="4">
        <v>0</v>
      </c>
      <c r="S7" s="21">
        <f t="shared" si="0"/>
        <v>12</v>
      </c>
      <c r="T7" s="4">
        <f t="shared" si="0"/>
        <v>97.11</v>
      </c>
      <c r="U7" s="4">
        <f t="shared" si="0"/>
        <v>35.08</v>
      </c>
    </row>
    <row r="8" spans="1:21" s="6" customFormat="1" ht="16.5">
      <c r="A8" s="18">
        <v>3</v>
      </c>
      <c r="B8" s="178"/>
      <c r="C8" s="9" t="s">
        <v>26</v>
      </c>
      <c r="D8" s="18">
        <v>29</v>
      </c>
      <c r="E8" s="4">
        <v>291.58</v>
      </c>
      <c r="F8" s="4">
        <v>78.86</v>
      </c>
      <c r="G8" s="18">
        <v>20</v>
      </c>
      <c r="H8" s="4">
        <v>211.6</v>
      </c>
      <c r="I8" s="4">
        <v>50.54</v>
      </c>
      <c r="J8" s="18">
        <v>8</v>
      </c>
      <c r="K8" s="4">
        <v>73.08</v>
      </c>
      <c r="L8" s="4">
        <v>26.05</v>
      </c>
      <c r="M8" s="18">
        <v>1</v>
      </c>
      <c r="N8" s="4">
        <v>6.9</v>
      </c>
      <c r="O8" s="4">
        <v>2.27</v>
      </c>
      <c r="P8" s="18">
        <v>0</v>
      </c>
      <c r="Q8" s="4">
        <v>0</v>
      </c>
      <c r="R8" s="4">
        <v>0</v>
      </c>
      <c r="S8" s="21">
        <f t="shared" si="0"/>
        <v>29</v>
      </c>
      <c r="T8" s="4">
        <f t="shared" si="0"/>
        <v>291.58</v>
      </c>
      <c r="U8" s="4">
        <f t="shared" si="0"/>
        <v>78.86</v>
      </c>
    </row>
    <row r="9" spans="1:21" s="6" customFormat="1" ht="16.5">
      <c r="A9" s="18">
        <v>4</v>
      </c>
      <c r="B9" s="178"/>
      <c r="C9" s="10" t="s">
        <v>27</v>
      </c>
      <c r="D9" s="18">
        <v>7</v>
      </c>
      <c r="E9" s="4">
        <v>73.25</v>
      </c>
      <c r="F9" s="4">
        <v>26.84</v>
      </c>
      <c r="G9" s="18">
        <v>4</v>
      </c>
      <c r="H9" s="4">
        <v>38.97</v>
      </c>
      <c r="I9" s="4">
        <v>13.76</v>
      </c>
      <c r="J9" s="18">
        <v>3</v>
      </c>
      <c r="K9" s="4">
        <v>34.28</v>
      </c>
      <c r="L9" s="4">
        <v>13.07</v>
      </c>
      <c r="M9" s="18">
        <v>0</v>
      </c>
      <c r="N9" s="4">
        <v>0</v>
      </c>
      <c r="O9" s="4">
        <v>0</v>
      </c>
      <c r="P9" s="18">
        <v>0</v>
      </c>
      <c r="Q9" s="4">
        <v>0</v>
      </c>
      <c r="R9" s="4">
        <v>0</v>
      </c>
      <c r="S9" s="21">
        <f t="shared" si="0"/>
        <v>7</v>
      </c>
      <c r="T9" s="4">
        <f t="shared" si="0"/>
        <v>73.25</v>
      </c>
      <c r="U9" s="4">
        <f t="shared" si="0"/>
        <v>26.83</v>
      </c>
    </row>
    <row r="10" spans="1:21" s="6" customFormat="1" ht="16.5">
      <c r="A10" s="18">
        <v>5</v>
      </c>
      <c r="B10" s="178"/>
      <c r="C10" s="11" t="s">
        <v>28</v>
      </c>
      <c r="D10" s="18">
        <v>14</v>
      </c>
      <c r="E10" s="4">
        <v>111.35</v>
      </c>
      <c r="F10" s="4">
        <v>40.57</v>
      </c>
      <c r="G10" s="18">
        <v>8</v>
      </c>
      <c r="H10" s="4">
        <v>63.31</v>
      </c>
      <c r="I10" s="4">
        <v>17.61</v>
      </c>
      <c r="J10" s="18">
        <v>4</v>
      </c>
      <c r="K10" s="4">
        <v>14.6</v>
      </c>
      <c r="L10" s="4">
        <v>8.3</v>
      </c>
      <c r="M10" s="18">
        <v>2</v>
      </c>
      <c r="N10" s="4">
        <v>33.44</v>
      </c>
      <c r="O10" s="4">
        <v>14.67</v>
      </c>
      <c r="P10" s="18">
        <v>0</v>
      </c>
      <c r="Q10" s="4">
        <v>0</v>
      </c>
      <c r="R10" s="4">
        <v>0</v>
      </c>
      <c r="S10" s="21">
        <f t="shared" si="0"/>
        <v>14</v>
      </c>
      <c r="T10" s="4">
        <f t="shared" si="0"/>
        <v>111.35</v>
      </c>
      <c r="U10" s="4">
        <f t="shared" si="0"/>
        <v>40.58</v>
      </c>
    </row>
    <row r="11" spans="1:21" s="6" customFormat="1" ht="16.5">
      <c r="A11" s="18">
        <v>6</v>
      </c>
      <c r="B11" s="178"/>
      <c r="C11" s="11" t="s">
        <v>29</v>
      </c>
      <c r="D11" s="18">
        <v>22</v>
      </c>
      <c r="E11" s="4">
        <v>195.34</v>
      </c>
      <c r="F11" s="4">
        <v>63.56</v>
      </c>
      <c r="G11" s="18">
        <v>16</v>
      </c>
      <c r="H11" s="4">
        <v>145.58</v>
      </c>
      <c r="I11" s="4">
        <v>39.06</v>
      </c>
      <c r="J11" s="18">
        <v>5</v>
      </c>
      <c r="K11" s="4">
        <v>27.76</v>
      </c>
      <c r="L11" s="4">
        <v>15.68</v>
      </c>
      <c r="M11" s="18">
        <v>1</v>
      </c>
      <c r="N11" s="4">
        <v>22</v>
      </c>
      <c r="O11" s="4">
        <v>8.82</v>
      </c>
      <c r="P11" s="18">
        <v>0</v>
      </c>
      <c r="Q11" s="4">
        <v>0</v>
      </c>
      <c r="R11" s="4">
        <v>0</v>
      </c>
      <c r="S11" s="21">
        <f t="shared" si="0"/>
        <v>22</v>
      </c>
      <c r="T11" s="4">
        <f t="shared" si="0"/>
        <v>195.34</v>
      </c>
      <c r="U11" s="4">
        <f t="shared" si="0"/>
        <v>63.56</v>
      </c>
    </row>
    <row r="12" spans="1:21" s="8" customFormat="1" ht="21" customHeight="1">
      <c r="A12" s="172" t="s">
        <v>79</v>
      </c>
      <c r="B12" s="173"/>
      <c r="C12" s="174"/>
      <c r="D12" s="1">
        <f>SUM(D6:D11)</f>
        <v>92</v>
      </c>
      <c r="E12" s="1">
        <f aca="true" t="shared" si="1" ref="E12:R12">SUM(E6:E11)</f>
        <v>853.34</v>
      </c>
      <c r="F12" s="1">
        <f t="shared" si="1"/>
        <v>274.58000000000004</v>
      </c>
      <c r="G12" s="1">
        <f>SUM(G6:G11)</f>
        <v>60</v>
      </c>
      <c r="H12" s="1">
        <f>SUM(H6:H11)</f>
        <v>554.81</v>
      </c>
      <c r="I12" s="1">
        <f>SUM(I6:I11)</f>
        <v>150.33</v>
      </c>
      <c r="J12" s="1">
        <f t="shared" si="1"/>
        <v>27</v>
      </c>
      <c r="K12" s="1">
        <f t="shared" si="1"/>
        <v>220.71999999999997</v>
      </c>
      <c r="L12" s="1">
        <f t="shared" si="1"/>
        <v>91.98999999999998</v>
      </c>
      <c r="M12" s="1">
        <f t="shared" si="1"/>
        <v>5</v>
      </c>
      <c r="N12" s="1">
        <f t="shared" si="1"/>
        <v>77.81</v>
      </c>
      <c r="O12" s="1">
        <f t="shared" si="1"/>
        <v>32.26</v>
      </c>
      <c r="P12" s="1">
        <f t="shared" si="1"/>
        <v>0</v>
      </c>
      <c r="Q12" s="5">
        <f t="shared" si="1"/>
        <v>0</v>
      </c>
      <c r="R12" s="5">
        <f t="shared" si="1"/>
        <v>0</v>
      </c>
      <c r="S12" s="1">
        <f>SUM(S6:S11)</f>
        <v>92</v>
      </c>
      <c r="T12" s="5">
        <f>SUM(T6:T11)</f>
        <v>853.34</v>
      </c>
      <c r="U12" s="5">
        <f>SUM(U6:U11)</f>
        <v>274.58</v>
      </c>
    </row>
    <row r="13" spans="1:21" s="6" customFormat="1" ht="16.5">
      <c r="A13" s="18">
        <v>7</v>
      </c>
      <c r="B13" s="178" t="s">
        <v>12</v>
      </c>
      <c r="C13" s="12" t="s">
        <v>30</v>
      </c>
      <c r="D13" s="18">
        <v>44</v>
      </c>
      <c r="E13" s="4">
        <v>273</v>
      </c>
      <c r="F13" s="4">
        <v>100.81</v>
      </c>
      <c r="G13" s="18">
        <v>27</v>
      </c>
      <c r="H13" s="4">
        <v>137.21</v>
      </c>
      <c r="I13" s="4">
        <v>47.76</v>
      </c>
      <c r="J13" s="18">
        <v>16</v>
      </c>
      <c r="K13" s="4">
        <v>128.86</v>
      </c>
      <c r="L13" s="4">
        <v>49.75</v>
      </c>
      <c r="M13" s="18">
        <v>0</v>
      </c>
      <c r="N13" s="4">
        <v>0</v>
      </c>
      <c r="O13" s="4">
        <v>0</v>
      </c>
      <c r="P13" s="18">
        <v>1</v>
      </c>
      <c r="Q13" s="4">
        <v>6.931</v>
      </c>
      <c r="R13" s="4">
        <v>3.3</v>
      </c>
      <c r="S13" s="21">
        <f aca="true" t="shared" si="2" ref="S13:U14">J13+G13+M13+P13</f>
        <v>44</v>
      </c>
      <c r="T13" s="4">
        <f t="shared" si="2"/>
        <v>273.00100000000003</v>
      </c>
      <c r="U13" s="4">
        <f t="shared" si="2"/>
        <v>100.80999999999999</v>
      </c>
    </row>
    <row r="14" spans="1:21" s="6" customFormat="1" ht="16.5">
      <c r="A14" s="18">
        <v>8</v>
      </c>
      <c r="B14" s="178"/>
      <c r="C14" s="13" t="s">
        <v>31</v>
      </c>
      <c r="D14" s="18">
        <v>57</v>
      </c>
      <c r="E14" s="4">
        <v>480.94</v>
      </c>
      <c r="F14" s="4">
        <v>184.15</v>
      </c>
      <c r="G14" s="18">
        <v>30</v>
      </c>
      <c r="H14" s="4">
        <v>230.74</v>
      </c>
      <c r="I14" s="4">
        <v>68.49</v>
      </c>
      <c r="J14" s="18">
        <v>18</v>
      </c>
      <c r="K14" s="4">
        <v>139.23</v>
      </c>
      <c r="L14" s="4">
        <v>63.27</v>
      </c>
      <c r="M14" s="22">
        <v>5</v>
      </c>
      <c r="N14" s="4">
        <v>81.83</v>
      </c>
      <c r="O14" s="4">
        <v>33.6</v>
      </c>
      <c r="P14" s="18">
        <v>4</v>
      </c>
      <c r="Q14" s="4">
        <v>29.14</v>
      </c>
      <c r="R14" s="4">
        <v>18.79</v>
      </c>
      <c r="S14" s="21">
        <f t="shared" si="2"/>
        <v>57</v>
      </c>
      <c r="T14" s="4">
        <f t="shared" si="2"/>
        <v>480.94</v>
      </c>
      <c r="U14" s="4">
        <f t="shared" si="2"/>
        <v>184.14999999999998</v>
      </c>
    </row>
    <row r="15" spans="1:21" s="8" customFormat="1" ht="21.75" customHeight="1">
      <c r="A15" s="172" t="s">
        <v>88</v>
      </c>
      <c r="B15" s="173"/>
      <c r="C15" s="174"/>
      <c r="D15" s="1">
        <f>SUM(D13:D14)</f>
        <v>101</v>
      </c>
      <c r="E15" s="5">
        <f aca="true" t="shared" si="3" ref="E15:R15">SUM(E13:E14)</f>
        <v>753.94</v>
      </c>
      <c r="F15" s="1">
        <f t="shared" si="3"/>
        <v>284.96000000000004</v>
      </c>
      <c r="G15" s="1">
        <f>SUM(G13:G14)</f>
        <v>57</v>
      </c>
      <c r="H15" s="1">
        <f>SUM(H13:H14)</f>
        <v>367.95000000000005</v>
      </c>
      <c r="I15" s="1">
        <f>SUM(I13:I14)</f>
        <v>116.25</v>
      </c>
      <c r="J15" s="1">
        <f t="shared" si="3"/>
        <v>34</v>
      </c>
      <c r="K15" s="1">
        <f t="shared" si="3"/>
        <v>268.09000000000003</v>
      </c>
      <c r="L15" s="1">
        <f t="shared" si="3"/>
        <v>113.02000000000001</v>
      </c>
      <c r="M15" s="1">
        <f t="shared" si="3"/>
        <v>5</v>
      </c>
      <c r="N15" s="1">
        <f t="shared" si="3"/>
        <v>81.83</v>
      </c>
      <c r="O15" s="1">
        <f t="shared" si="3"/>
        <v>33.6</v>
      </c>
      <c r="P15" s="1">
        <f t="shared" si="3"/>
        <v>5</v>
      </c>
      <c r="Q15" s="1">
        <f t="shared" si="3"/>
        <v>36.071</v>
      </c>
      <c r="R15" s="1">
        <f t="shared" si="3"/>
        <v>22.09</v>
      </c>
      <c r="S15" s="1">
        <f>SUM(S13:S14)</f>
        <v>101</v>
      </c>
      <c r="T15" s="5">
        <f>SUM(T13:T14)</f>
        <v>753.941</v>
      </c>
      <c r="U15" s="1">
        <f>SUM(U13:U14)</f>
        <v>284.96</v>
      </c>
    </row>
    <row r="16" spans="1:21" s="6" customFormat="1" ht="16.5">
      <c r="A16" s="18">
        <v>9</v>
      </c>
      <c r="B16" s="178" t="s">
        <v>14</v>
      </c>
      <c r="C16" s="9" t="s">
        <v>32</v>
      </c>
      <c r="D16" s="18">
        <v>43</v>
      </c>
      <c r="E16" s="4">
        <v>394.25</v>
      </c>
      <c r="F16" s="4">
        <v>153.6</v>
      </c>
      <c r="G16" s="18">
        <v>19</v>
      </c>
      <c r="H16" s="4">
        <v>141.33</v>
      </c>
      <c r="I16" s="4">
        <v>44.44</v>
      </c>
      <c r="J16" s="18">
        <v>19</v>
      </c>
      <c r="K16" s="4">
        <v>200.29</v>
      </c>
      <c r="L16" s="4">
        <v>79.81</v>
      </c>
      <c r="M16" s="18">
        <v>0</v>
      </c>
      <c r="N16" s="4">
        <v>0</v>
      </c>
      <c r="O16" s="4">
        <v>0</v>
      </c>
      <c r="P16" s="18">
        <v>5</v>
      </c>
      <c r="Q16" s="4">
        <v>52.63</v>
      </c>
      <c r="R16" s="4">
        <v>29.35</v>
      </c>
      <c r="S16" s="21">
        <f aca="true" t="shared" si="4" ref="S16:U18">J16+G16+M16+P16</f>
        <v>43</v>
      </c>
      <c r="T16" s="4">
        <f t="shared" si="4"/>
        <v>394.25</v>
      </c>
      <c r="U16" s="4">
        <f t="shared" si="4"/>
        <v>153.6</v>
      </c>
    </row>
    <row r="17" spans="1:21" s="6" customFormat="1" ht="16.5">
      <c r="A17" s="18">
        <v>10</v>
      </c>
      <c r="B17" s="178"/>
      <c r="C17" s="9" t="s">
        <v>33</v>
      </c>
      <c r="D17" s="18">
        <v>14</v>
      </c>
      <c r="E17" s="4">
        <v>131.61</v>
      </c>
      <c r="F17" s="4">
        <v>73.05</v>
      </c>
      <c r="G17" s="18">
        <v>4</v>
      </c>
      <c r="H17" s="4">
        <v>28.29</v>
      </c>
      <c r="I17" s="4">
        <v>8.7</v>
      </c>
      <c r="J17" s="18">
        <v>7</v>
      </c>
      <c r="K17" s="4">
        <v>55.98</v>
      </c>
      <c r="L17" s="4">
        <v>35.13</v>
      </c>
      <c r="M17" s="18">
        <v>0</v>
      </c>
      <c r="N17" s="4">
        <v>0</v>
      </c>
      <c r="O17" s="4">
        <v>0</v>
      </c>
      <c r="P17" s="18">
        <v>3</v>
      </c>
      <c r="Q17" s="4">
        <v>47.34</v>
      </c>
      <c r="R17" s="4">
        <v>29.22</v>
      </c>
      <c r="S17" s="21">
        <f t="shared" si="4"/>
        <v>14</v>
      </c>
      <c r="T17" s="4">
        <f t="shared" si="4"/>
        <v>131.61</v>
      </c>
      <c r="U17" s="4">
        <f t="shared" si="4"/>
        <v>73.05</v>
      </c>
    </row>
    <row r="18" spans="1:21" s="6" customFormat="1" ht="16.5">
      <c r="A18" s="18">
        <v>11</v>
      </c>
      <c r="B18" s="178"/>
      <c r="C18" s="9" t="s">
        <v>74</v>
      </c>
      <c r="D18" s="18">
        <v>73</v>
      </c>
      <c r="E18" s="4">
        <v>549.52</v>
      </c>
      <c r="F18" s="4">
        <v>220.98</v>
      </c>
      <c r="G18" s="18">
        <v>40</v>
      </c>
      <c r="H18" s="4">
        <v>313.9</v>
      </c>
      <c r="I18" s="4">
        <v>89.18</v>
      </c>
      <c r="J18" s="18">
        <v>30</v>
      </c>
      <c r="K18" s="4">
        <v>183.03</v>
      </c>
      <c r="L18" s="4">
        <v>99.25</v>
      </c>
      <c r="M18" s="18">
        <v>1</v>
      </c>
      <c r="N18" s="4">
        <v>10.84</v>
      </c>
      <c r="O18" s="4">
        <v>6.57</v>
      </c>
      <c r="P18" s="18">
        <v>2</v>
      </c>
      <c r="Q18" s="4">
        <v>41.75</v>
      </c>
      <c r="R18" s="4">
        <v>25.98</v>
      </c>
      <c r="S18" s="21">
        <f t="shared" si="4"/>
        <v>73</v>
      </c>
      <c r="T18" s="4">
        <f t="shared" si="4"/>
        <v>549.52</v>
      </c>
      <c r="U18" s="4">
        <f t="shared" si="4"/>
        <v>220.98</v>
      </c>
    </row>
    <row r="19" spans="1:21" s="8" customFormat="1" ht="19.5" customHeight="1">
      <c r="A19" s="172" t="s">
        <v>89</v>
      </c>
      <c r="B19" s="173"/>
      <c r="C19" s="174"/>
      <c r="D19" s="1">
        <f>SUM(D16:D18)</f>
        <v>130</v>
      </c>
      <c r="E19" s="1">
        <f aca="true" t="shared" si="5" ref="E19:R19">SUM(E16:E18)</f>
        <v>1075.38</v>
      </c>
      <c r="F19" s="1">
        <f t="shared" si="5"/>
        <v>447.63</v>
      </c>
      <c r="G19" s="1">
        <f>SUM(G16:G18)</f>
        <v>63</v>
      </c>
      <c r="H19" s="1">
        <f>SUM(H16:H18)</f>
        <v>483.52</v>
      </c>
      <c r="I19" s="1">
        <f>SUM(I16:I18)</f>
        <v>142.32</v>
      </c>
      <c r="J19" s="1">
        <f t="shared" si="5"/>
        <v>56</v>
      </c>
      <c r="K19" s="1">
        <f t="shared" si="5"/>
        <v>439.29999999999995</v>
      </c>
      <c r="L19" s="1">
        <f t="shared" si="5"/>
        <v>214.19</v>
      </c>
      <c r="M19" s="1">
        <f t="shared" si="5"/>
        <v>1</v>
      </c>
      <c r="N19" s="1">
        <f t="shared" si="5"/>
        <v>10.84</v>
      </c>
      <c r="O19" s="1">
        <f t="shared" si="5"/>
        <v>6.57</v>
      </c>
      <c r="P19" s="1">
        <f t="shared" si="5"/>
        <v>10</v>
      </c>
      <c r="Q19" s="1">
        <f t="shared" si="5"/>
        <v>141.72</v>
      </c>
      <c r="R19" s="1">
        <f t="shared" si="5"/>
        <v>84.55</v>
      </c>
      <c r="S19" s="1">
        <f>SUM(S16:S18)</f>
        <v>130</v>
      </c>
      <c r="T19" s="1">
        <f>SUM(T16:T18)</f>
        <v>1075.38</v>
      </c>
      <c r="U19" s="1">
        <f>SUM(U16:U18)</f>
        <v>447.63</v>
      </c>
    </row>
    <row r="20" spans="1:21" s="6" customFormat="1" ht="21" customHeight="1">
      <c r="A20" s="18">
        <v>12</v>
      </c>
      <c r="B20" s="178" t="s">
        <v>15</v>
      </c>
      <c r="C20" s="9" t="s">
        <v>34</v>
      </c>
      <c r="D20" s="18">
        <v>18</v>
      </c>
      <c r="E20" s="4">
        <v>128.1</v>
      </c>
      <c r="F20" s="4">
        <v>46.3</v>
      </c>
      <c r="G20" s="18">
        <v>12</v>
      </c>
      <c r="H20" s="4">
        <v>79.65</v>
      </c>
      <c r="I20" s="4">
        <v>26.53</v>
      </c>
      <c r="J20" s="18">
        <v>5</v>
      </c>
      <c r="K20" s="4">
        <v>33.45</v>
      </c>
      <c r="L20" s="4">
        <v>15.03</v>
      </c>
      <c r="M20" s="18">
        <v>0</v>
      </c>
      <c r="N20" s="4">
        <v>0</v>
      </c>
      <c r="O20" s="4">
        <v>0</v>
      </c>
      <c r="P20" s="18">
        <v>1</v>
      </c>
      <c r="Q20" s="4">
        <v>15</v>
      </c>
      <c r="R20" s="4">
        <v>4.74</v>
      </c>
      <c r="S20" s="21">
        <f aca="true" t="shared" si="6" ref="S20:U21">J20+G20+M20+P20</f>
        <v>18</v>
      </c>
      <c r="T20" s="4">
        <f t="shared" si="6"/>
        <v>128.10000000000002</v>
      </c>
      <c r="U20" s="4">
        <f t="shared" si="6"/>
        <v>46.300000000000004</v>
      </c>
    </row>
    <row r="21" spans="1:21" s="6" customFormat="1" ht="19.5" customHeight="1">
      <c r="A21" s="18">
        <v>13</v>
      </c>
      <c r="B21" s="178"/>
      <c r="C21" s="9" t="s">
        <v>35</v>
      </c>
      <c r="D21" s="18">
        <v>37</v>
      </c>
      <c r="E21" s="4">
        <v>315.87</v>
      </c>
      <c r="F21" s="4">
        <v>94.23</v>
      </c>
      <c r="G21" s="18">
        <v>24</v>
      </c>
      <c r="H21" s="4">
        <v>203.03</v>
      </c>
      <c r="I21" s="4">
        <v>49.58</v>
      </c>
      <c r="J21" s="18">
        <v>13</v>
      </c>
      <c r="K21" s="4">
        <v>112.84</v>
      </c>
      <c r="L21" s="4">
        <v>44.65</v>
      </c>
      <c r="M21" s="18">
        <v>0</v>
      </c>
      <c r="N21" s="4">
        <v>0</v>
      </c>
      <c r="O21" s="4">
        <v>0</v>
      </c>
      <c r="P21" s="18">
        <v>0</v>
      </c>
      <c r="Q21" s="4">
        <v>0</v>
      </c>
      <c r="R21" s="4">
        <v>0</v>
      </c>
      <c r="S21" s="21">
        <f t="shared" si="6"/>
        <v>37</v>
      </c>
      <c r="T21" s="4">
        <f t="shared" si="6"/>
        <v>315.87</v>
      </c>
      <c r="U21" s="4">
        <f t="shared" si="6"/>
        <v>94.22999999999999</v>
      </c>
    </row>
    <row r="22" spans="1:21" s="8" customFormat="1" ht="19.5" customHeight="1">
      <c r="A22" s="172" t="s">
        <v>90</v>
      </c>
      <c r="B22" s="173"/>
      <c r="C22" s="174"/>
      <c r="D22" s="1">
        <f>SUM(D20:D21)</f>
        <v>55</v>
      </c>
      <c r="E22" s="1">
        <f aca="true" t="shared" si="7" ref="E22:Q22">SUM(E20:E21)</f>
        <v>443.97</v>
      </c>
      <c r="F22" s="1">
        <f t="shared" si="7"/>
        <v>140.53</v>
      </c>
      <c r="G22" s="1">
        <f>SUM(G20:G21)</f>
        <v>36</v>
      </c>
      <c r="H22" s="1">
        <f>SUM(H20:H21)</f>
        <v>282.68</v>
      </c>
      <c r="I22" s="1">
        <f>SUM(I20:I21)</f>
        <v>76.11</v>
      </c>
      <c r="J22" s="1">
        <f t="shared" si="7"/>
        <v>18</v>
      </c>
      <c r="K22" s="1">
        <f t="shared" si="7"/>
        <v>146.29000000000002</v>
      </c>
      <c r="L22" s="1">
        <f t="shared" si="7"/>
        <v>59.68</v>
      </c>
      <c r="M22" s="1">
        <f t="shared" si="7"/>
        <v>0</v>
      </c>
      <c r="N22" s="5">
        <f t="shared" si="7"/>
        <v>0</v>
      </c>
      <c r="O22" s="5">
        <f t="shared" si="7"/>
        <v>0</v>
      </c>
      <c r="P22" s="1">
        <f t="shared" si="7"/>
        <v>1</v>
      </c>
      <c r="Q22" s="5">
        <f t="shared" si="7"/>
        <v>15</v>
      </c>
      <c r="R22" s="1">
        <f>SUM(R20:R21)</f>
        <v>4.74</v>
      </c>
      <c r="S22" s="1">
        <f>SUM(S20:S21)</f>
        <v>55</v>
      </c>
      <c r="T22" s="5">
        <f>SUM(T20:T21)</f>
        <v>443.97</v>
      </c>
      <c r="U22" s="1">
        <f>SUM(U20:U21)</f>
        <v>140.53</v>
      </c>
    </row>
    <row r="23" spans="1:21" s="6" customFormat="1" ht="16.5">
      <c r="A23" s="18">
        <v>14</v>
      </c>
      <c r="B23" s="178" t="s">
        <v>16</v>
      </c>
      <c r="C23" s="9" t="s">
        <v>36</v>
      </c>
      <c r="D23" s="18">
        <v>58</v>
      </c>
      <c r="E23" s="4">
        <v>527.67</v>
      </c>
      <c r="F23" s="4">
        <v>184.13</v>
      </c>
      <c r="G23" s="18">
        <v>26</v>
      </c>
      <c r="H23" s="4">
        <v>213.62</v>
      </c>
      <c r="I23" s="4">
        <v>45.99</v>
      </c>
      <c r="J23" s="18">
        <v>19</v>
      </c>
      <c r="K23" s="4">
        <v>197.82</v>
      </c>
      <c r="L23" s="4">
        <v>79.14</v>
      </c>
      <c r="M23" s="23">
        <v>3</v>
      </c>
      <c r="N23" s="4">
        <v>22.71</v>
      </c>
      <c r="O23" s="4">
        <v>7.15</v>
      </c>
      <c r="P23" s="18">
        <v>10</v>
      </c>
      <c r="Q23" s="4">
        <v>93.52</v>
      </c>
      <c r="R23" s="4">
        <v>51.85</v>
      </c>
      <c r="S23" s="21">
        <f aca="true" t="shared" si="8" ref="S23:S32">J23+G23+M23+P23</f>
        <v>58</v>
      </c>
      <c r="T23" s="4">
        <f aca="true" t="shared" si="9" ref="T23:T32">K23+H23+N23+Q23</f>
        <v>527.67</v>
      </c>
      <c r="U23" s="4">
        <f aca="true" t="shared" si="10" ref="U23:U32">L23+I23+O23+R23</f>
        <v>184.13</v>
      </c>
    </row>
    <row r="24" spans="1:21" s="6" customFormat="1" ht="16.5">
      <c r="A24" s="18">
        <v>15</v>
      </c>
      <c r="B24" s="178"/>
      <c r="C24" s="9" t="s">
        <v>37</v>
      </c>
      <c r="D24" s="18">
        <v>3</v>
      </c>
      <c r="E24" s="4">
        <v>8.75</v>
      </c>
      <c r="F24" s="4">
        <v>3.49</v>
      </c>
      <c r="G24" s="18">
        <v>2</v>
      </c>
      <c r="H24" s="4">
        <v>6.25</v>
      </c>
      <c r="I24" s="4">
        <v>1.73</v>
      </c>
      <c r="J24" s="18">
        <v>1</v>
      </c>
      <c r="K24" s="4">
        <v>2.5</v>
      </c>
      <c r="L24" s="4">
        <v>1.76</v>
      </c>
      <c r="M24" s="18">
        <v>0</v>
      </c>
      <c r="N24" s="4">
        <v>0</v>
      </c>
      <c r="O24" s="4">
        <v>0</v>
      </c>
      <c r="P24" s="18">
        <v>0</v>
      </c>
      <c r="Q24" s="4">
        <v>0</v>
      </c>
      <c r="R24" s="4">
        <v>0</v>
      </c>
      <c r="S24" s="21">
        <f t="shared" si="8"/>
        <v>3</v>
      </c>
      <c r="T24" s="4">
        <f t="shared" si="9"/>
        <v>8.75</v>
      </c>
      <c r="U24" s="4">
        <f t="shared" si="10"/>
        <v>3.49</v>
      </c>
    </row>
    <row r="25" spans="1:21" s="6" customFormat="1" ht="16.5">
      <c r="A25" s="18">
        <v>16</v>
      </c>
      <c r="B25" s="178"/>
      <c r="C25" s="14" t="s">
        <v>38</v>
      </c>
      <c r="D25" s="18">
        <v>4</v>
      </c>
      <c r="E25" s="4">
        <v>11.2</v>
      </c>
      <c r="F25" s="4">
        <v>2.71</v>
      </c>
      <c r="G25" s="18">
        <v>4</v>
      </c>
      <c r="H25" s="4">
        <v>11.2</v>
      </c>
      <c r="I25" s="4">
        <v>2.71</v>
      </c>
      <c r="J25" s="18">
        <v>0</v>
      </c>
      <c r="K25" s="4">
        <v>0</v>
      </c>
      <c r="L25" s="4">
        <v>0</v>
      </c>
      <c r="M25" s="18">
        <v>0</v>
      </c>
      <c r="N25" s="4">
        <v>0</v>
      </c>
      <c r="O25" s="4">
        <v>0</v>
      </c>
      <c r="P25" s="18">
        <v>0</v>
      </c>
      <c r="Q25" s="4">
        <v>0</v>
      </c>
      <c r="R25" s="4">
        <v>0</v>
      </c>
      <c r="S25" s="21">
        <f t="shared" si="8"/>
        <v>4</v>
      </c>
      <c r="T25" s="4">
        <f t="shared" si="9"/>
        <v>11.2</v>
      </c>
      <c r="U25" s="4">
        <f t="shared" si="10"/>
        <v>2.71</v>
      </c>
    </row>
    <row r="26" spans="1:21" s="6" customFormat="1" ht="16.5">
      <c r="A26" s="18">
        <v>17</v>
      </c>
      <c r="B26" s="178"/>
      <c r="C26" s="9" t="s">
        <v>39</v>
      </c>
      <c r="D26" s="18">
        <v>7</v>
      </c>
      <c r="E26" s="4">
        <v>85.01</v>
      </c>
      <c r="F26" s="4">
        <v>18.96</v>
      </c>
      <c r="G26" s="18">
        <v>6</v>
      </c>
      <c r="H26" s="4">
        <v>77.01</v>
      </c>
      <c r="I26" s="4">
        <v>17.31</v>
      </c>
      <c r="J26" s="18">
        <v>1</v>
      </c>
      <c r="K26" s="4">
        <v>8</v>
      </c>
      <c r="L26" s="4">
        <v>1.65</v>
      </c>
      <c r="M26" s="18">
        <v>0</v>
      </c>
      <c r="N26" s="4">
        <v>0</v>
      </c>
      <c r="O26" s="4">
        <v>0</v>
      </c>
      <c r="P26" s="18">
        <v>0</v>
      </c>
      <c r="Q26" s="4">
        <v>0</v>
      </c>
      <c r="R26" s="4">
        <v>0</v>
      </c>
      <c r="S26" s="21">
        <f t="shared" si="8"/>
        <v>7</v>
      </c>
      <c r="T26" s="4">
        <f t="shared" si="9"/>
        <v>85.01</v>
      </c>
      <c r="U26" s="4">
        <f t="shared" si="10"/>
        <v>18.959999999999997</v>
      </c>
    </row>
    <row r="27" spans="1:21" s="6" customFormat="1" ht="16.5">
      <c r="A27" s="18">
        <v>18</v>
      </c>
      <c r="B27" s="178"/>
      <c r="C27" s="9" t="s">
        <v>78</v>
      </c>
      <c r="D27" s="18">
        <v>5</v>
      </c>
      <c r="E27" s="4">
        <v>22</v>
      </c>
      <c r="F27" s="4">
        <v>6.08</v>
      </c>
      <c r="G27" s="18">
        <v>5</v>
      </c>
      <c r="H27" s="4">
        <v>22</v>
      </c>
      <c r="I27" s="4">
        <v>6.08</v>
      </c>
      <c r="J27" s="18">
        <v>0</v>
      </c>
      <c r="K27" s="4">
        <v>0</v>
      </c>
      <c r="L27" s="4">
        <v>0</v>
      </c>
      <c r="M27" s="18">
        <v>0</v>
      </c>
      <c r="N27" s="4">
        <v>0</v>
      </c>
      <c r="O27" s="4">
        <v>0</v>
      </c>
      <c r="P27" s="18">
        <v>0</v>
      </c>
      <c r="Q27" s="4">
        <v>0</v>
      </c>
      <c r="R27" s="4">
        <v>0</v>
      </c>
      <c r="S27" s="21">
        <f t="shared" si="8"/>
        <v>5</v>
      </c>
      <c r="T27" s="4">
        <f t="shared" si="9"/>
        <v>22</v>
      </c>
      <c r="U27" s="4">
        <f t="shared" si="10"/>
        <v>6.08</v>
      </c>
    </row>
    <row r="28" spans="1:21" s="6" customFormat="1" ht="16.5">
      <c r="A28" s="18">
        <v>19</v>
      </c>
      <c r="B28" s="178"/>
      <c r="C28" s="12" t="s">
        <v>40</v>
      </c>
      <c r="D28" s="18">
        <v>1</v>
      </c>
      <c r="E28" s="4">
        <v>4</v>
      </c>
      <c r="F28" s="4">
        <v>1.3</v>
      </c>
      <c r="G28" s="18">
        <v>1</v>
      </c>
      <c r="H28" s="4">
        <v>4</v>
      </c>
      <c r="I28" s="4">
        <v>1.3</v>
      </c>
      <c r="J28" s="18">
        <v>0</v>
      </c>
      <c r="K28" s="4">
        <v>0</v>
      </c>
      <c r="L28" s="4">
        <v>0</v>
      </c>
      <c r="M28" s="18">
        <v>0</v>
      </c>
      <c r="N28" s="4">
        <v>0</v>
      </c>
      <c r="O28" s="4">
        <v>0</v>
      </c>
      <c r="P28" s="18">
        <v>0</v>
      </c>
      <c r="Q28" s="4">
        <v>0</v>
      </c>
      <c r="R28" s="4">
        <v>0</v>
      </c>
      <c r="S28" s="21">
        <f t="shared" si="8"/>
        <v>1</v>
      </c>
      <c r="T28" s="4">
        <f t="shared" si="9"/>
        <v>4</v>
      </c>
      <c r="U28" s="4">
        <f t="shared" si="10"/>
        <v>1.3</v>
      </c>
    </row>
    <row r="29" spans="1:21" s="6" customFormat="1" ht="16.5">
      <c r="A29" s="18">
        <v>20</v>
      </c>
      <c r="B29" s="178"/>
      <c r="C29" s="12" t="s">
        <v>41</v>
      </c>
      <c r="D29" s="18">
        <v>4</v>
      </c>
      <c r="E29" s="4">
        <v>45.62</v>
      </c>
      <c r="F29" s="4">
        <v>8.62</v>
      </c>
      <c r="G29" s="18">
        <v>4</v>
      </c>
      <c r="H29" s="4">
        <v>45.62</v>
      </c>
      <c r="I29" s="4">
        <v>8.62</v>
      </c>
      <c r="J29" s="18">
        <v>0</v>
      </c>
      <c r="K29" s="4">
        <v>0</v>
      </c>
      <c r="L29" s="4">
        <v>0</v>
      </c>
      <c r="M29" s="18">
        <v>0</v>
      </c>
      <c r="N29" s="4">
        <v>0</v>
      </c>
      <c r="O29" s="4">
        <v>0</v>
      </c>
      <c r="P29" s="18">
        <v>0</v>
      </c>
      <c r="Q29" s="4">
        <v>0</v>
      </c>
      <c r="R29" s="4">
        <v>0</v>
      </c>
      <c r="S29" s="21">
        <f t="shared" si="8"/>
        <v>4</v>
      </c>
      <c r="T29" s="4">
        <f t="shared" si="9"/>
        <v>45.62</v>
      </c>
      <c r="U29" s="4">
        <f t="shared" si="10"/>
        <v>8.62</v>
      </c>
    </row>
    <row r="30" spans="1:21" s="6" customFormat="1" ht="16.5">
      <c r="A30" s="18">
        <v>21</v>
      </c>
      <c r="B30" s="24"/>
      <c r="C30" s="15" t="s">
        <v>92</v>
      </c>
      <c r="D30" s="18">
        <v>0</v>
      </c>
      <c r="E30" s="4">
        <v>0</v>
      </c>
      <c r="F30" s="4">
        <v>0</v>
      </c>
      <c r="G30" s="18">
        <v>0</v>
      </c>
      <c r="H30" s="4">
        <v>0</v>
      </c>
      <c r="I30" s="4">
        <v>0</v>
      </c>
      <c r="J30" s="18">
        <v>0</v>
      </c>
      <c r="K30" s="4">
        <v>0</v>
      </c>
      <c r="L30" s="4">
        <v>0</v>
      </c>
      <c r="M30" s="18">
        <v>0</v>
      </c>
      <c r="N30" s="4">
        <v>0</v>
      </c>
      <c r="O30" s="4">
        <v>0</v>
      </c>
      <c r="P30" s="18">
        <v>0</v>
      </c>
      <c r="Q30" s="4">
        <v>0</v>
      </c>
      <c r="R30" s="4">
        <v>0</v>
      </c>
      <c r="S30" s="21">
        <f t="shared" si="8"/>
        <v>0</v>
      </c>
      <c r="T30" s="4">
        <f t="shared" si="9"/>
        <v>0</v>
      </c>
      <c r="U30" s="4">
        <f t="shared" si="10"/>
        <v>0</v>
      </c>
    </row>
    <row r="31" spans="1:21" s="6" customFormat="1" ht="16.5">
      <c r="A31" s="18">
        <v>22</v>
      </c>
      <c r="B31" s="24"/>
      <c r="C31" s="15" t="s">
        <v>93</v>
      </c>
      <c r="D31" s="18">
        <v>0</v>
      </c>
      <c r="E31" s="4">
        <v>0</v>
      </c>
      <c r="F31" s="4">
        <v>0</v>
      </c>
      <c r="G31" s="18">
        <v>0</v>
      </c>
      <c r="H31" s="4">
        <v>0</v>
      </c>
      <c r="I31" s="4">
        <v>0</v>
      </c>
      <c r="J31" s="18">
        <v>0</v>
      </c>
      <c r="K31" s="4">
        <v>0</v>
      </c>
      <c r="L31" s="4">
        <v>0</v>
      </c>
      <c r="M31" s="18">
        <v>0</v>
      </c>
      <c r="N31" s="4">
        <v>0</v>
      </c>
      <c r="O31" s="4">
        <v>0</v>
      </c>
      <c r="P31" s="18">
        <v>0</v>
      </c>
      <c r="Q31" s="4">
        <v>0</v>
      </c>
      <c r="R31" s="4">
        <v>0</v>
      </c>
      <c r="S31" s="21">
        <f t="shared" si="8"/>
        <v>0</v>
      </c>
      <c r="T31" s="4">
        <f t="shared" si="9"/>
        <v>0</v>
      </c>
      <c r="U31" s="4">
        <f t="shared" si="10"/>
        <v>0</v>
      </c>
    </row>
    <row r="32" spans="1:21" s="6" customFormat="1" ht="16.5">
      <c r="A32" s="18">
        <v>23</v>
      </c>
      <c r="B32" s="24"/>
      <c r="C32" s="15" t="s">
        <v>91</v>
      </c>
      <c r="D32" s="18">
        <v>0</v>
      </c>
      <c r="E32" s="4">
        <v>0</v>
      </c>
      <c r="F32" s="4">
        <v>0</v>
      </c>
      <c r="G32" s="18">
        <v>0</v>
      </c>
      <c r="H32" s="4">
        <v>0</v>
      </c>
      <c r="I32" s="4">
        <v>0</v>
      </c>
      <c r="J32" s="18">
        <v>0</v>
      </c>
      <c r="K32" s="4">
        <v>0</v>
      </c>
      <c r="L32" s="4">
        <v>0</v>
      </c>
      <c r="M32" s="18">
        <v>0</v>
      </c>
      <c r="N32" s="4">
        <v>0</v>
      </c>
      <c r="O32" s="4">
        <v>0</v>
      </c>
      <c r="P32" s="18">
        <v>0</v>
      </c>
      <c r="Q32" s="4">
        <v>0</v>
      </c>
      <c r="R32" s="4">
        <v>0</v>
      </c>
      <c r="S32" s="21">
        <f t="shared" si="8"/>
        <v>0</v>
      </c>
      <c r="T32" s="4">
        <f t="shared" si="9"/>
        <v>0</v>
      </c>
      <c r="U32" s="4">
        <f t="shared" si="10"/>
        <v>0</v>
      </c>
    </row>
    <row r="33" spans="1:21" s="8" customFormat="1" ht="20.25" customHeight="1">
      <c r="A33" s="175" t="s">
        <v>87</v>
      </c>
      <c r="B33" s="176"/>
      <c r="C33" s="177"/>
      <c r="D33" s="1">
        <f>SUM(D23:D32)</f>
        <v>82</v>
      </c>
      <c r="E33" s="1">
        <f aca="true" t="shared" si="11" ref="E33:J33">SUM(E23:E32)</f>
        <v>704.25</v>
      </c>
      <c r="F33" s="1">
        <f t="shared" si="11"/>
        <v>225.29000000000005</v>
      </c>
      <c r="G33" s="1">
        <f>SUM(G23:G32)</f>
        <v>48</v>
      </c>
      <c r="H33" s="1">
        <f>SUM(H23:H32)</f>
        <v>379.7</v>
      </c>
      <c r="I33" s="1">
        <f>SUM(I23:I32)</f>
        <v>83.74</v>
      </c>
      <c r="J33" s="1">
        <f t="shared" si="11"/>
        <v>21</v>
      </c>
      <c r="K33" s="1">
        <f>SUM(K23:K32)</f>
        <v>208.32</v>
      </c>
      <c r="L33" s="1">
        <f>SUM(L23:L32)</f>
        <v>82.55000000000001</v>
      </c>
      <c r="M33" s="1">
        <f>SUM(M23:M32)</f>
        <v>3</v>
      </c>
      <c r="N33" s="1">
        <f>SUM(N23:N32)</f>
        <v>22.71</v>
      </c>
      <c r="O33" s="1">
        <f>SUM(O23:O32)</f>
        <v>7.15</v>
      </c>
      <c r="P33" s="1">
        <f>SUM(P23:P32)</f>
        <v>10</v>
      </c>
      <c r="Q33" s="1">
        <f>SUM(Q23:Q32)</f>
        <v>93.52</v>
      </c>
      <c r="R33" s="1">
        <f>SUM(R23:R32)</f>
        <v>51.85</v>
      </c>
      <c r="S33" s="1">
        <f>SUM(S23:S32)</f>
        <v>82</v>
      </c>
      <c r="T33" s="1">
        <f>SUM(T23:T32)</f>
        <v>704.25</v>
      </c>
      <c r="U33" s="1">
        <f>SUM(U23:U32)</f>
        <v>225.29000000000005</v>
      </c>
    </row>
    <row r="34" spans="1:21" s="6" customFormat="1" ht="16.5">
      <c r="A34" s="18">
        <v>24</v>
      </c>
      <c r="B34" s="178" t="s">
        <v>17</v>
      </c>
      <c r="C34" s="9" t="s">
        <v>42</v>
      </c>
      <c r="D34" s="18">
        <v>9</v>
      </c>
      <c r="E34" s="4">
        <v>55.8</v>
      </c>
      <c r="F34" s="4">
        <v>8.28</v>
      </c>
      <c r="G34" s="18">
        <v>6</v>
      </c>
      <c r="H34" s="4">
        <v>11.3</v>
      </c>
      <c r="I34" s="4">
        <v>1.61</v>
      </c>
      <c r="J34" s="18">
        <v>3</v>
      </c>
      <c r="K34" s="4">
        <v>44.5</v>
      </c>
      <c r="L34" s="4">
        <v>6.67</v>
      </c>
      <c r="M34" s="18">
        <v>0</v>
      </c>
      <c r="N34" s="4">
        <v>0</v>
      </c>
      <c r="O34" s="4">
        <v>0</v>
      </c>
      <c r="P34" s="18">
        <v>0</v>
      </c>
      <c r="Q34" s="4">
        <v>0</v>
      </c>
      <c r="R34" s="4">
        <v>0</v>
      </c>
      <c r="S34" s="21">
        <f aca="true" t="shared" si="12" ref="S34:S44">J34+G34+M34+P34</f>
        <v>9</v>
      </c>
      <c r="T34" s="4">
        <f aca="true" t="shared" si="13" ref="T34:T44">K34+H34+N34+Q34</f>
        <v>55.8</v>
      </c>
      <c r="U34" s="4">
        <f aca="true" t="shared" si="14" ref="U34:U44">L34+I34+O34+R34</f>
        <v>8.28</v>
      </c>
    </row>
    <row r="35" spans="1:21" s="6" customFormat="1" ht="31.5" customHeight="1">
      <c r="A35" s="18">
        <v>25</v>
      </c>
      <c r="B35" s="178"/>
      <c r="C35" s="12" t="s">
        <v>75</v>
      </c>
      <c r="D35" s="18">
        <v>2</v>
      </c>
      <c r="E35" s="4">
        <v>2.2</v>
      </c>
      <c r="F35" s="4">
        <v>1.44</v>
      </c>
      <c r="G35" s="18">
        <v>1</v>
      </c>
      <c r="H35" s="4">
        <v>1</v>
      </c>
      <c r="I35" s="4">
        <v>1.26</v>
      </c>
      <c r="J35" s="18">
        <v>1</v>
      </c>
      <c r="K35" s="4">
        <v>1.2</v>
      </c>
      <c r="L35" s="4">
        <v>0.18</v>
      </c>
      <c r="M35" s="18">
        <v>0</v>
      </c>
      <c r="N35" s="4">
        <v>0</v>
      </c>
      <c r="O35" s="4">
        <v>0</v>
      </c>
      <c r="P35" s="18">
        <v>0</v>
      </c>
      <c r="Q35" s="4">
        <v>0</v>
      </c>
      <c r="R35" s="4">
        <v>0</v>
      </c>
      <c r="S35" s="21">
        <f t="shared" si="12"/>
        <v>2</v>
      </c>
      <c r="T35" s="4">
        <f t="shared" si="13"/>
        <v>2.2</v>
      </c>
      <c r="U35" s="4">
        <f t="shared" si="14"/>
        <v>1.44</v>
      </c>
    </row>
    <row r="36" spans="1:21" s="6" customFormat="1" ht="18" customHeight="1">
      <c r="A36" s="18">
        <v>26</v>
      </c>
      <c r="B36" s="178"/>
      <c r="C36" s="9" t="s">
        <v>76</v>
      </c>
      <c r="D36" s="18">
        <v>10</v>
      </c>
      <c r="E36" s="4">
        <v>19.4</v>
      </c>
      <c r="F36" s="4">
        <v>4.92</v>
      </c>
      <c r="G36" s="18">
        <v>8</v>
      </c>
      <c r="H36" s="4">
        <v>12.2</v>
      </c>
      <c r="I36" s="4">
        <v>3.85</v>
      </c>
      <c r="J36" s="18">
        <v>2</v>
      </c>
      <c r="K36" s="4">
        <v>7.2</v>
      </c>
      <c r="L36" s="4">
        <v>1.07</v>
      </c>
      <c r="M36" s="18">
        <v>0</v>
      </c>
      <c r="N36" s="4">
        <v>0</v>
      </c>
      <c r="O36" s="4">
        <v>0</v>
      </c>
      <c r="P36" s="18">
        <v>0</v>
      </c>
      <c r="Q36" s="4">
        <v>0</v>
      </c>
      <c r="R36" s="4">
        <v>0</v>
      </c>
      <c r="S36" s="21">
        <f t="shared" si="12"/>
        <v>10</v>
      </c>
      <c r="T36" s="4">
        <f t="shared" si="13"/>
        <v>19.4</v>
      </c>
      <c r="U36" s="4">
        <f t="shared" si="14"/>
        <v>4.92</v>
      </c>
    </row>
    <row r="37" spans="1:21" s="6" customFormat="1" ht="16.5">
      <c r="A37" s="18">
        <v>27</v>
      </c>
      <c r="B37" s="178"/>
      <c r="C37" s="9" t="s">
        <v>98</v>
      </c>
      <c r="D37" s="18">
        <v>6</v>
      </c>
      <c r="E37" s="4">
        <v>16.75</v>
      </c>
      <c r="F37" s="4">
        <v>2.36</v>
      </c>
      <c r="G37" s="18">
        <v>6</v>
      </c>
      <c r="H37" s="4">
        <v>16.75</v>
      </c>
      <c r="I37" s="4">
        <v>2.36</v>
      </c>
      <c r="J37" s="18">
        <v>0</v>
      </c>
      <c r="K37" s="4">
        <v>0</v>
      </c>
      <c r="L37" s="4">
        <v>0</v>
      </c>
      <c r="M37" s="18">
        <v>0</v>
      </c>
      <c r="N37" s="4">
        <v>0</v>
      </c>
      <c r="O37" s="4">
        <v>0</v>
      </c>
      <c r="P37" s="18">
        <v>0</v>
      </c>
      <c r="Q37" s="4">
        <v>0</v>
      </c>
      <c r="R37" s="4">
        <v>0</v>
      </c>
      <c r="S37" s="21">
        <f t="shared" si="12"/>
        <v>6</v>
      </c>
      <c r="T37" s="4">
        <f t="shared" si="13"/>
        <v>16.75</v>
      </c>
      <c r="U37" s="4">
        <f t="shared" si="14"/>
        <v>2.36</v>
      </c>
    </row>
    <row r="38" spans="1:21" s="6" customFormat="1" ht="16.5">
      <c r="A38" s="18">
        <v>28</v>
      </c>
      <c r="B38" s="178"/>
      <c r="C38" s="12" t="s">
        <v>43</v>
      </c>
      <c r="D38" s="18">
        <v>5</v>
      </c>
      <c r="E38" s="4">
        <v>9.48</v>
      </c>
      <c r="F38" s="4">
        <v>3.21</v>
      </c>
      <c r="G38" s="18">
        <v>4</v>
      </c>
      <c r="H38" s="4">
        <v>5.38</v>
      </c>
      <c r="I38" s="4">
        <v>2.59</v>
      </c>
      <c r="J38" s="18">
        <v>1</v>
      </c>
      <c r="K38" s="4">
        <v>4.1</v>
      </c>
      <c r="L38" s="4">
        <v>0.62</v>
      </c>
      <c r="M38" s="18">
        <v>0</v>
      </c>
      <c r="N38" s="4">
        <v>0</v>
      </c>
      <c r="O38" s="4">
        <v>0</v>
      </c>
      <c r="P38" s="18">
        <v>0</v>
      </c>
      <c r="Q38" s="4">
        <v>0</v>
      </c>
      <c r="R38" s="4">
        <v>0</v>
      </c>
      <c r="S38" s="21">
        <f t="shared" si="12"/>
        <v>5</v>
      </c>
      <c r="T38" s="4">
        <f t="shared" si="13"/>
        <v>9.48</v>
      </c>
      <c r="U38" s="4">
        <f t="shared" si="14"/>
        <v>3.21</v>
      </c>
    </row>
    <row r="39" spans="1:21" s="6" customFormat="1" ht="16.5">
      <c r="A39" s="18">
        <v>29</v>
      </c>
      <c r="B39" s="178"/>
      <c r="C39" s="12" t="s">
        <v>94</v>
      </c>
      <c r="D39" s="18">
        <v>5</v>
      </c>
      <c r="E39" s="4">
        <v>20.7</v>
      </c>
      <c r="F39" s="4">
        <v>3.5</v>
      </c>
      <c r="G39" s="18">
        <v>2</v>
      </c>
      <c r="H39" s="4">
        <v>5.2</v>
      </c>
      <c r="I39" s="4">
        <v>1.67</v>
      </c>
      <c r="J39" s="18">
        <v>3</v>
      </c>
      <c r="K39" s="4">
        <v>15.5</v>
      </c>
      <c r="L39" s="4">
        <v>1.83</v>
      </c>
      <c r="M39" s="18">
        <v>0</v>
      </c>
      <c r="N39" s="4">
        <v>0</v>
      </c>
      <c r="O39" s="4">
        <v>0</v>
      </c>
      <c r="P39" s="18">
        <v>0</v>
      </c>
      <c r="Q39" s="4">
        <v>0</v>
      </c>
      <c r="R39" s="4">
        <v>0</v>
      </c>
      <c r="S39" s="21">
        <f t="shared" si="12"/>
        <v>5</v>
      </c>
      <c r="T39" s="4">
        <f t="shared" si="13"/>
        <v>20.7</v>
      </c>
      <c r="U39" s="4">
        <f t="shared" si="14"/>
        <v>3.5</v>
      </c>
    </row>
    <row r="40" spans="1:21" s="6" customFormat="1" ht="16.5">
      <c r="A40" s="18">
        <v>30</v>
      </c>
      <c r="B40" s="178"/>
      <c r="C40" s="9" t="s">
        <v>44</v>
      </c>
      <c r="D40" s="18">
        <v>9</v>
      </c>
      <c r="E40" s="4">
        <v>30.36</v>
      </c>
      <c r="F40" s="4">
        <v>3.5</v>
      </c>
      <c r="G40" s="18">
        <v>2</v>
      </c>
      <c r="H40" s="4">
        <v>3.11</v>
      </c>
      <c r="I40" s="4">
        <v>0.8</v>
      </c>
      <c r="J40" s="18">
        <v>7</v>
      </c>
      <c r="K40" s="4">
        <v>27.25</v>
      </c>
      <c r="L40" s="4">
        <v>2.7</v>
      </c>
      <c r="M40" s="18">
        <v>0</v>
      </c>
      <c r="N40" s="4">
        <v>0</v>
      </c>
      <c r="O40" s="4">
        <v>0</v>
      </c>
      <c r="P40" s="18">
        <v>0</v>
      </c>
      <c r="Q40" s="4">
        <v>0</v>
      </c>
      <c r="R40" s="4">
        <v>0</v>
      </c>
      <c r="S40" s="21">
        <f t="shared" si="12"/>
        <v>9</v>
      </c>
      <c r="T40" s="4">
        <f t="shared" si="13"/>
        <v>30.36</v>
      </c>
      <c r="U40" s="4">
        <f t="shared" si="14"/>
        <v>3.5</v>
      </c>
    </row>
    <row r="41" spans="1:21" s="6" customFormat="1" ht="16.5">
      <c r="A41" s="18">
        <v>31</v>
      </c>
      <c r="B41" s="178"/>
      <c r="C41" s="9" t="s">
        <v>45</v>
      </c>
      <c r="D41" s="18">
        <v>14</v>
      </c>
      <c r="E41" s="4">
        <v>19.52</v>
      </c>
      <c r="F41" s="4">
        <v>2.46</v>
      </c>
      <c r="G41" s="18">
        <v>13</v>
      </c>
      <c r="H41" s="4">
        <v>17.52</v>
      </c>
      <c r="I41" s="4">
        <v>2.16</v>
      </c>
      <c r="J41" s="18">
        <v>1</v>
      </c>
      <c r="K41" s="4">
        <v>2</v>
      </c>
      <c r="L41" s="4">
        <v>0.3</v>
      </c>
      <c r="M41" s="18">
        <v>0</v>
      </c>
      <c r="N41" s="4">
        <v>0</v>
      </c>
      <c r="O41" s="4">
        <v>0</v>
      </c>
      <c r="P41" s="18">
        <v>0</v>
      </c>
      <c r="Q41" s="4">
        <v>0</v>
      </c>
      <c r="R41" s="4">
        <v>0</v>
      </c>
      <c r="S41" s="21">
        <f t="shared" si="12"/>
        <v>14</v>
      </c>
      <c r="T41" s="4">
        <f t="shared" si="13"/>
        <v>19.52</v>
      </c>
      <c r="U41" s="4">
        <f t="shared" si="14"/>
        <v>2.46</v>
      </c>
    </row>
    <row r="42" spans="1:21" s="6" customFormat="1" ht="16.5">
      <c r="A42" s="18">
        <v>32</v>
      </c>
      <c r="B42" s="178"/>
      <c r="C42" s="12" t="s">
        <v>46</v>
      </c>
      <c r="D42" s="18">
        <v>6</v>
      </c>
      <c r="E42" s="4">
        <v>9.78</v>
      </c>
      <c r="F42" s="4">
        <v>1.97</v>
      </c>
      <c r="G42" s="18">
        <v>6</v>
      </c>
      <c r="H42" s="4">
        <v>9.78</v>
      </c>
      <c r="I42" s="4">
        <v>1.97</v>
      </c>
      <c r="J42" s="18">
        <v>0</v>
      </c>
      <c r="K42" s="4">
        <v>0</v>
      </c>
      <c r="L42" s="4">
        <v>0</v>
      </c>
      <c r="M42" s="18">
        <v>0</v>
      </c>
      <c r="N42" s="4">
        <v>0</v>
      </c>
      <c r="O42" s="4">
        <v>0</v>
      </c>
      <c r="P42" s="18">
        <v>0</v>
      </c>
      <c r="Q42" s="4">
        <v>0</v>
      </c>
      <c r="R42" s="4">
        <v>0</v>
      </c>
      <c r="S42" s="21">
        <f t="shared" si="12"/>
        <v>6</v>
      </c>
      <c r="T42" s="4">
        <f t="shared" si="13"/>
        <v>9.78</v>
      </c>
      <c r="U42" s="4">
        <f t="shared" si="14"/>
        <v>1.97</v>
      </c>
    </row>
    <row r="43" spans="1:21" s="6" customFormat="1" ht="16.5">
      <c r="A43" s="18">
        <v>33</v>
      </c>
      <c r="B43" s="178"/>
      <c r="C43" s="9" t="s">
        <v>47</v>
      </c>
      <c r="D43" s="18">
        <v>2</v>
      </c>
      <c r="E43" s="4">
        <v>3.4</v>
      </c>
      <c r="F43" s="4">
        <v>1.45</v>
      </c>
      <c r="G43" s="18">
        <v>2</v>
      </c>
      <c r="H43" s="4">
        <v>3.4</v>
      </c>
      <c r="I43" s="4">
        <v>1.45</v>
      </c>
      <c r="J43" s="18">
        <v>0</v>
      </c>
      <c r="K43" s="4">
        <v>0</v>
      </c>
      <c r="L43" s="4">
        <v>0</v>
      </c>
      <c r="M43" s="18">
        <v>0</v>
      </c>
      <c r="N43" s="4">
        <v>0</v>
      </c>
      <c r="O43" s="4">
        <v>0</v>
      </c>
      <c r="P43" s="18">
        <v>0</v>
      </c>
      <c r="Q43" s="4">
        <v>0</v>
      </c>
      <c r="R43" s="4">
        <v>0</v>
      </c>
      <c r="S43" s="21">
        <f t="shared" si="12"/>
        <v>2</v>
      </c>
      <c r="T43" s="4">
        <f t="shared" si="13"/>
        <v>3.4</v>
      </c>
      <c r="U43" s="4">
        <f t="shared" si="14"/>
        <v>1.45</v>
      </c>
    </row>
    <row r="44" spans="1:21" s="6" customFormat="1" ht="16.5">
      <c r="A44" s="18">
        <v>34</v>
      </c>
      <c r="B44" s="24"/>
      <c r="C44" s="9" t="s">
        <v>106</v>
      </c>
      <c r="D44" s="18">
        <v>0</v>
      </c>
      <c r="E44" s="4">
        <v>0</v>
      </c>
      <c r="F44" s="4">
        <v>0</v>
      </c>
      <c r="G44" s="18">
        <v>0</v>
      </c>
      <c r="H44" s="4">
        <v>0</v>
      </c>
      <c r="I44" s="4">
        <v>0</v>
      </c>
      <c r="J44" s="18">
        <v>0</v>
      </c>
      <c r="K44" s="4">
        <v>0</v>
      </c>
      <c r="L44" s="4">
        <v>0</v>
      </c>
      <c r="M44" s="18">
        <v>0</v>
      </c>
      <c r="N44" s="4">
        <v>0</v>
      </c>
      <c r="O44" s="4">
        <v>0</v>
      </c>
      <c r="P44" s="18">
        <v>0</v>
      </c>
      <c r="Q44" s="4">
        <v>0</v>
      </c>
      <c r="R44" s="4">
        <v>0</v>
      </c>
      <c r="S44" s="21">
        <f t="shared" si="12"/>
        <v>0</v>
      </c>
      <c r="T44" s="4">
        <f t="shared" si="13"/>
        <v>0</v>
      </c>
      <c r="U44" s="4">
        <f t="shared" si="14"/>
        <v>0</v>
      </c>
    </row>
    <row r="45" spans="1:21" s="8" customFormat="1" ht="16.5" customHeight="1">
      <c r="A45" s="172" t="s">
        <v>86</v>
      </c>
      <c r="B45" s="173"/>
      <c r="C45" s="174"/>
      <c r="D45" s="1">
        <f>SUM(D34:D44)</f>
        <v>68</v>
      </c>
      <c r="E45" s="1">
        <f aca="true" t="shared" si="15" ref="E45:R45">SUM(E34:E44)</f>
        <v>187.39000000000001</v>
      </c>
      <c r="F45" s="1">
        <f t="shared" si="15"/>
        <v>33.09</v>
      </c>
      <c r="G45" s="1">
        <f>SUM(G34:G44)</f>
        <v>50</v>
      </c>
      <c r="H45" s="1">
        <f>SUM(H34:H44)</f>
        <v>85.64000000000001</v>
      </c>
      <c r="I45" s="1">
        <f>SUM(I34:I44)</f>
        <v>19.72</v>
      </c>
      <c r="J45" s="1">
        <f t="shared" si="15"/>
        <v>18</v>
      </c>
      <c r="K45" s="1">
        <f t="shared" si="15"/>
        <v>101.75</v>
      </c>
      <c r="L45" s="1">
        <f t="shared" si="15"/>
        <v>13.370000000000001</v>
      </c>
      <c r="M45" s="1">
        <f t="shared" si="15"/>
        <v>0</v>
      </c>
      <c r="N45" s="5">
        <f t="shared" si="15"/>
        <v>0</v>
      </c>
      <c r="O45" s="5">
        <f t="shared" si="15"/>
        <v>0</v>
      </c>
      <c r="P45" s="1">
        <f t="shared" si="15"/>
        <v>0</v>
      </c>
      <c r="Q45" s="5">
        <f t="shared" si="15"/>
        <v>0</v>
      </c>
      <c r="R45" s="5">
        <f t="shared" si="15"/>
        <v>0</v>
      </c>
      <c r="S45" s="1">
        <f>SUM(S34:S43)</f>
        <v>68</v>
      </c>
      <c r="T45" s="5">
        <f>SUM(T34:T43)</f>
        <v>187.39000000000001</v>
      </c>
      <c r="U45" s="5">
        <f>SUM(U34:U43)</f>
        <v>33.09</v>
      </c>
    </row>
    <row r="46" spans="1:21" s="6" customFormat="1" ht="16.5">
      <c r="A46" s="18">
        <v>35</v>
      </c>
      <c r="B46" s="178" t="s">
        <v>18</v>
      </c>
      <c r="C46" s="9" t="s">
        <v>48</v>
      </c>
      <c r="D46" s="18">
        <v>36</v>
      </c>
      <c r="E46" s="4">
        <v>322.69</v>
      </c>
      <c r="F46" s="4">
        <v>94.35</v>
      </c>
      <c r="G46" s="18">
        <v>33</v>
      </c>
      <c r="H46" s="4">
        <v>300.69</v>
      </c>
      <c r="I46" s="4">
        <v>83.17</v>
      </c>
      <c r="J46" s="18">
        <v>3</v>
      </c>
      <c r="K46" s="4">
        <v>22</v>
      </c>
      <c r="L46" s="4">
        <v>11.18</v>
      </c>
      <c r="M46" s="18">
        <v>0</v>
      </c>
      <c r="N46" s="4">
        <v>0</v>
      </c>
      <c r="O46" s="4">
        <v>0</v>
      </c>
      <c r="P46" s="18">
        <v>0</v>
      </c>
      <c r="Q46" s="4">
        <v>0</v>
      </c>
      <c r="R46" s="4">
        <v>0</v>
      </c>
      <c r="S46" s="21">
        <f aca="true" t="shared" si="16" ref="S46:U51">J46+G46+M46+P46</f>
        <v>36</v>
      </c>
      <c r="T46" s="4">
        <f t="shared" si="16"/>
        <v>322.69</v>
      </c>
      <c r="U46" s="4">
        <f t="shared" si="16"/>
        <v>94.35</v>
      </c>
    </row>
    <row r="47" spans="1:21" s="6" customFormat="1" ht="16.5">
      <c r="A47" s="18">
        <v>36</v>
      </c>
      <c r="B47" s="178"/>
      <c r="C47" s="13" t="s">
        <v>77</v>
      </c>
      <c r="D47" s="18">
        <v>9</v>
      </c>
      <c r="E47" s="4">
        <v>47.22</v>
      </c>
      <c r="F47" s="4">
        <v>20.25</v>
      </c>
      <c r="G47" s="18">
        <v>6</v>
      </c>
      <c r="H47" s="4">
        <v>28.18</v>
      </c>
      <c r="I47" s="4">
        <v>11.34</v>
      </c>
      <c r="J47" s="18">
        <v>2</v>
      </c>
      <c r="K47" s="4">
        <v>7</v>
      </c>
      <c r="L47" s="4">
        <v>2.82</v>
      </c>
      <c r="M47" s="18">
        <v>0</v>
      </c>
      <c r="N47" s="4">
        <v>0</v>
      </c>
      <c r="O47" s="4">
        <v>0</v>
      </c>
      <c r="P47" s="18">
        <v>1</v>
      </c>
      <c r="Q47" s="4">
        <v>12.04</v>
      </c>
      <c r="R47" s="4">
        <v>6.09</v>
      </c>
      <c r="S47" s="21">
        <f t="shared" si="16"/>
        <v>9</v>
      </c>
      <c r="T47" s="4">
        <f t="shared" si="16"/>
        <v>47.22</v>
      </c>
      <c r="U47" s="4">
        <f t="shared" si="16"/>
        <v>20.25</v>
      </c>
    </row>
    <row r="48" spans="1:21" s="6" customFormat="1" ht="16.5">
      <c r="A48" s="18">
        <v>37</v>
      </c>
      <c r="B48" s="178"/>
      <c r="C48" s="9" t="s">
        <v>49</v>
      </c>
      <c r="D48" s="18">
        <v>30</v>
      </c>
      <c r="E48" s="4">
        <v>181.39</v>
      </c>
      <c r="F48" s="4">
        <v>70.64</v>
      </c>
      <c r="G48" s="18">
        <v>16</v>
      </c>
      <c r="H48" s="4">
        <v>110.12</v>
      </c>
      <c r="I48" s="4">
        <v>34.72</v>
      </c>
      <c r="J48" s="18">
        <v>13</v>
      </c>
      <c r="K48" s="4">
        <v>58.38</v>
      </c>
      <c r="L48" s="4">
        <v>29.99</v>
      </c>
      <c r="M48" s="18">
        <v>0</v>
      </c>
      <c r="N48" s="4">
        <v>0</v>
      </c>
      <c r="O48" s="4">
        <v>0</v>
      </c>
      <c r="P48" s="18">
        <v>1</v>
      </c>
      <c r="Q48" s="4">
        <v>12.89</v>
      </c>
      <c r="R48" s="4">
        <v>5.93</v>
      </c>
      <c r="S48" s="21">
        <f t="shared" si="16"/>
        <v>30</v>
      </c>
      <c r="T48" s="4">
        <f t="shared" si="16"/>
        <v>181.39</v>
      </c>
      <c r="U48" s="4">
        <f t="shared" si="16"/>
        <v>70.63999999999999</v>
      </c>
    </row>
    <row r="49" spans="1:21" s="6" customFormat="1" ht="16.5">
      <c r="A49" s="18">
        <v>38</v>
      </c>
      <c r="B49" s="178"/>
      <c r="C49" s="12" t="s">
        <v>50</v>
      </c>
      <c r="D49" s="18">
        <v>6</v>
      </c>
      <c r="E49" s="4">
        <v>40.78</v>
      </c>
      <c r="F49" s="4">
        <v>11.23</v>
      </c>
      <c r="G49" s="18">
        <v>5</v>
      </c>
      <c r="H49" s="4">
        <v>34.78</v>
      </c>
      <c r="I49" s="4">
        <v>8.76</v>
      </c>
      <c r="J49" s="18">
        <v>1</v>
      </c>
      <c r="K49" s="4">
        <v>6</v>
      </c>
      <c r="L49" s="4">
        <v>2.47</v>
      </c>
      <c r="M49" s="18">
        <v>0</v>
      </c>
      <c r="N49" s="4">
        <v>0</v>
      </c>
      <c r="O49" s="4">
        <v>0</v>
      </c>
      <c r="P49" s="18">
        <v>0</v>
      </c>
      <c r="Q49" s="4">
        <v>0</v>
      </c>
      <c r="R49" s="4">
        <v>0</v>
      </c>
      <c r="S49" s="21">
        <f t="shared" si="16"/>
        <v>6</v>
      </c>
      <c r="T49" s="4">
        <f t="shared" si="16"/>
        <v>40.78</v>
      </c>
      <c r="U49" s="4">
        <f t="shared" si="16"/>
        <v>11.23</v>
      </c>
    </row>
    <row r="50" spans="1:21" s="6" customFormat="1" ht="16.5">
      <c r="A50" s="18">
        <v>39</v>
      </c>
      <c r="B50" s="18"/>
      <c r="C50" s="12" t="s">
        <v>107</v>
      </c>
      <c r="D50" s="18">
        <v>0</v>
      </c>
      <c r="E50" s="4">
        <v>0</v>
      </c>
      <c r="F50" s="4">
        <v>0</v>
      </c>
      <c r="G50" s="18">
        <v>0</v>
      </c>
      <c r="H50" s="4">
        <v>0</v>
      </c>
      <c r="I50" s="4">
        <v>0</v>
      </c>
      <c r="J50" s="18">
        <v>0</v>
      </c>
      <c r="K50" s="4">
        <v>0</v>
      </c>
      <c r="L50" s="4">
        <v>0</v>
      </c>
      <c r="M50" s="18">
        <v>0</v>
      </c>
      <c r="N50" s="4">
        <v>0</v>
      </c>
      <c r="O50" s="4">
        <v>0</v>
      </c>
      <c r="P50" s="18">
        <v>0</v>
      </c>
      <c r="Q50" s="4">
        <v>0</v>
      </c>
      <c r="R50" s="4">
        <v>0</v>
      </c>
      <c r="S50" s="21">
        <f t="shared" si="16"/>
        <v>0</v>
      </c>
      <c r="T50" s="4">
        <f t="shared" si="16"/>
        <v>0</v>
      </c>
      <c r="U50" s="4">
        <f t="shared" si="16"/>
        <v>0</v>
      </c>
    </row>
    <row r="51" spans="1:21" s="6" customFormat="1" ht="18.75" customHeight="1">
      <c r="A51" s="18">
        <v>40</v>
      </c>
      <c r="B51" s="18"/>
      <c r="C51" s="12" t="s">
        <v>108</v>
      </c>
      <c r="D51" s="18">
        <v>0</v>
      </c>
      <c r="E51" s="4">
        <v>0</v>
      </c>
      <c r="F51" s="4">
        <v>0</v>
      </c>
      <c r="G51" s="18">
        <v>0</v>
      </c>
      <c r="H51" s="4">
        <v>0</v>
      </c>
      <c r="I51" s="4">
        <v>0</v>
      </c>
      <c r="J51" s="18">
        <v>0</v>
      </c>
      <c r="K51" s="4">
        <v>0</v>
      </c>
      <c r="L51" s="4">
        <v>0</v>
      </c>
      <c r="M51" s="18">
        <v>0</v>
      </c>
      <c r="N51" s="4">
        <v>0</v>
      </c>
      <c r="O51" s="4">
        <v>0</v>
      </c>
      <c r="P51" s="18">
        <v>0</v>
      </c>
      <c r="Q51" s="4">
        <v>0</v>
      </c>
      <c r="R51" s="4">
        <v>0</v>
      </c>
      <c r="S51" s="21">
        <f t="shared" si="16"/>
        <v>0</v>
      </c>
      <c r="T51" s="4">
        <f t="shared" si="16"/>
        <v>0</v>
      </c>
      <c r="U51" s="4">
        <f t="shared" si="16"/>
        <v>0</v>
      </c>
    </row>
    <row r="52" spans="1:21" s="8" customFormat="1" ht="17.25" customHeight="1">
      <c r="A52" s="172" t="s">
        <v>85</v>
      </c>
      <c r="B52" s="173"/>
      <c r="C52" s="174"/>
      <c r="D52" s="1">
        <f>SUM(D46:D51)</f>
        <v>81</v>
      </c>
      <c r="E52" s="1">
        <f aca="true" t="shared" si="17" ref="E52:U52">SUM(E46:E51)</f>
        <v>592.0799999999999</v>
      </c>
      <c r="F52" s="1">
        <f t="shared" si="17"/>
        <v>196.47</v>
      </c>
      <c r="G52" s="1">
        <f>SUM(G46:G51)</f>
        <v>60</v>
      </c>
      <c r="H52" s="1">
        <f>SUM(H46:H51)</f>
        <v>473.77</v>
      </c>
      <c r="I52" s="1">
        <f>SUM(I46:I51)</f>
        <v>137.99</v>
      </c>
      <c r="J52" s="1">
        <f t="shared" si="17"/>
        <v>19</v>
      </c>
      <c r="K52" s="1">
        <f t="shared" si="17"/>
        <v>93.38</v>
      </c>
      <c r="L52" s="1">
        <f t="shared" si="17"/>
        <v>46.459999999999994</v>
      </c>
      <c r="M52" s="1">
        <f t="shared" si="17"/>
        <v>0</v>
      </c>
      <c r="N52" s="1">
        <f t="shared" si="17"/>
        <v>0</v>
      </c>
      <c r="O52" s="1">
        <f t="shared" si="17"/>
        <v>0</v>
      </c>
      <c r="P52" s="1">
        <f t="shared" si="17"/>
        <v>2</v>
      </c>
      <c r="Q52" s="1">
        <f t="shared" si="17"/>
        <v>24.93</v>
      </c>
      <c r="R52" s="1">
        <f t="shared" si="17"/>
        <v>12.02</v>
      </c>
      <c r="S52" s="1">
        <f t="shared" si="17"/>
        <v>81</v>
      </c>
      <c r="T52" s="1">
        <f t="shared" si="17"/>
        <v>592.0799999999999</v>
      </c>
      <c r="U52" s="1">
        <f t="shared" si="17"/>
        <v>196.46999999999997</v>
      </c>
    </row>
    <row r="53" spans="1:21" s="6" customFormat="1" ht="18" customHeight="1">
      <c r="A53" s="18">
        <v>41</v>
      </c>
      <c r="B53" s="178" t="s">
        <v>19</v>
      </c>
      <c r="C53" s="13" t="s">
        <v>99</v>
      </c>
      <c r="D53" s="18">
        <v>38</v>
      </c>
      <c r="E53" s="4">
        <v>279.2</v>
      </c>
      <c r="F53" s="4">
        <v>98.48</v>
      </c>
      <c r="G53" s="18">
        <v>22</v>
      </c>
      <c r="H53" s="4">
        <v>149.03</v>
      </c>
      <c r="I53" s="4">
        <v>38.54</v>
      </c>
      <c r="J53" s="18">
        <v>15</v>
      </c>
      <c r="K53" s="4">
        <v>124.84</v>
      </c>
      <c r="L53" s="4">
        <v>57.09</v>
      </c>
      <c r="M53" s="18">
        <v>1</v>
      </c>
      <c r="N53" s="4">
        <v>5.33</v>
      </c>
      <c r="O53" s="4">
        <v>2.86</v>
      </c>
      <c r="P53" s="18">
        <v>0</v>
      </c>
      <c r="Q53" s="4">
        <v>0</v>
      </c>
      <c r="R53" s="4">
        <v>0</v>
      </c>
      <c r="S53" s="21">
        <f aca="true" t="shared" si="18" ref="S53:U58">J53+G53+M53+P53</f>
        <v>38</v>
      </c>
      <c r="T53" s="4">
        <f t="shared" si="18"/>
        <v>279.2</v>
      </c>
      <c r="U53" s="4">
        <f t="shared" si="18"/>
        <v>98.49</v>
      </c>
    </row>
    <row r="54" spans="1:21" s="6" customFormat="1" ht="16.5">
      <c r="A54" s="18">
        <v>42</v>
      </c>
      <c r="B54" s="178"/>
      <c r="C54" s="16" t="s">
        <v>51</v>
      </c>
      <c r="D54" s="18">
        <v>4</v>
      </c>
      <c r="E54" s="4">
        <v>19.6</v>
      </c>
      <c r="F54" s="4">
        <v>7.79</v>
      </c>
      <c r="G54" s="18">
        <v>2</v>
      </c>
      <c r="H54" s="4">
        <v>6.6</v>
      </c>
      <c r="I54" s="4">
        <v>2.29</v>
      </c>
      <c r="J54" s="18">
        <v>1</v>
      </c>
      <c r="K54" s="4">
        <v>4.5</v>
      </c>
      <c r="L54" s="4">
        <v>1.46</v>
      </c>
      <c r="M54" s="18">
        <v>1</v>
      </c>
      <c r="N54" s="4">
        <v>8.5</v>
      </c>
      <c r="O54" s="4">
        <v>4.03</v>
      </c>
      <c r="P54" s="18">
        <v>0</v>
      </c>
      <c r="Q54" s="4">
        <v>0</v>
      </c>
      <c r="R54" s="4">
        <v>0</v>
      </c>
      <c r="S54" s="21">
        <f t="shared" si="18"/>
        <v>4</v>
      </c>
      <c r="T54" s="4">
        <f t="shared" si="18"/>
        <v>19.6</v>
      </c>
      <c r="U54" s="4">
        <f t="shared" si="18"/>
        <v>7.78</v>
      </c>
    </row>
    <row r="55" spans="1:21" s="6" customFormat="1" ht="16.5">
      <c r="A55" s="18">
        <v>43</v>
      </c>
      <c r="B55" s="178"/>
      <c r="C55" s="11" t="s">
        <v>52</v>
      </c>
      <c r="D55" s="18">
        <v>12</v>
      </c>
      <c r="E55" s="4">
        <v>117.24</v>
      </c>
      <c r="F55" s="4">
        <v>43.27</v>
      </c>
      <c r="G55" s="18">
        <v>6</v>
      </c>
      <c r="H55" s="4">
        <v>44.48</v>
      </c>
      <c r="I55" s="4">
        <v>14.57</v>
      </c>
      <c r="J55" s="18">
        <v>5</v>
      </c>
      <c r="K55" s="4">
        <v>67.96</v>
      </c>
      <c r="L55" s="4">
        <v>27.04</v>
      </c>
      <c r="M55" s="18">
        <v>0</v>
      </c>
      <c r="N55" s="4">
        <v>0</v>
      </c>
      <c r="O55" s="4">
        <v>0</v>
      </c>
      <c r="P55" s="18">
        <v>1</v>
      </c>
      <c r="Q55" s="4">
        <v>4.8</v>
      </c>
      <c r="R55" s="4">
        <v>1.66</v>
      </c>
      <c r="S55" s="21">
        <f t="shared" si="18"/>
        <v>12</v>
      </c>
      <c r="T55" s="4">
        <f t="shared" si="18"/>
        <v>117.24</v>
      </c>
      <c r="U55" s="4">
        <f t="shared" si="18"/>
        <v>43.269999999999996</v>
      </c>
    </row>
    <row r="56" spans="1:21" s="6" customFormat="1" ht="16.5">
      <c r="A56" s="18">
        <v>44</v>
      </c>
      <c r="B56" s="178"/>
      <c r="C56" s="11" t="s">
        <v>53</v>
      </c>
      <c r="D56" s="18">
        <v>24</v>
      </c>
      <c r="E56" s="4">
        <v>154.67</v>
      </c>
      <c r="F56" s="4">
        <v>58.53</v>
      </c>
      <c r="G56" s="18">
        <v>16</v>
      </c>
      <c r="H56" s="4">
        <v>80.33</v>
      </c>
      <c r="I56" s="4">
        <v>27.29</v>
      </c>
      <c r="J56" s="18">
        <v>4</v>
      </c>
      <c r="K56" s="4">
        <v>57.19</v>
      </c>
      <c r="L56" s="4">
        <v>21.78</v>
      </c>
      <c r="M56" s="18">
        <v>4</v>
      </c>
      <c r="N56" s="4">
        <v>17.15</v>
      </c>
      <c r="O56" s="4">
        <v>9.46</v>
      </c>
      <c r="P56" s="18">
        <v>0</v>
      </c>
      <c r="Q56" s="4">
        <v>0</v>
      </c>
      <c r="R56" s="4">
        <v>0</v>
      </c>
      <c r="S56" s="21">
        <f t="shared" si="18"/>
        <v>24</v>
      </c>
      <c r="T56" s="4">
        <f t="shared" si="18"/>
        <v>154.67</v>
      </c>
      <c r="U56" s="4">
        <f t="shared" si="18"/>
        <v>58.53</v>
      </c>
    </row>
    <row r="57" spans="1:21" s="6" customFormat="1" ht="16.5">
      <c r="A57" s="18">
        <v>45</v>
      </c>
      <c r="B57" s="178"/>
      <c r="C57" s="11" t="s">
        <v>54</v>
      </c>
      <c r="D57" s="18">
        <v>35</v>
      </c>
      <c r="E57" s="4">
        <v>250.24</v>
      </c>
      <c r="F57" s="4">
        <v>81.27</v>
      </c>
      <c r="G57" s="18">
        <v>27</v>
      </c>
      <c r="H57" s="4">
        <v>172.4</v>
      </c>
      <c r="I57" s="4">
        <v>48.88</v>
      </c>
      <c r="J57" s="18">
        <v>8</v>
      </c>
      <c r="K57" s="4">
        <v>77.84</v>
      </c>
      <c r="L57" s="4">
        <v>32.39</v>
      </c>
      <c r="M57" s="18">
        <v>0</v>
      </c>
      <c r="N57" s="4">
        <v>0</v>
      </c>
      <c r="O57" s="4">
        <v>0</v>
      </c>
      <c r="P57" s="18">
        <v>0</v>
      </c>
      <c r="Q57" s="4">
        <v>0</v>
      </c>
      <c r="R57" s="4">
        <v>0</v>
      </c>
      <c r="S57" s="21">
        <f t="shared" si="18"/>
        <v>35</v>
      </c>
      <c r="T57" s="4">
        <f t="shared" si="18"/>
        <v>250.24</v>
      </c>
      <c r="U57" s="4">
        <f t="shared" si="18"/>
        <v>81.27000000000001</v>
      </c>
    </row>
    <row r="58" spans="1:21" s="6" customFormat="1" ht="16.5">
      <c r="A58" s="18">
        <v>46</v>
      </c>
      <c r="B58" s="178"/>
      <c r="C58" s="16" t="s">
        <v>55</v>
      </c>
      <c r="D58" s="18">
        <v>25</v>
      </c>
      <c r="E58" s="4">
        <v>278.54</v>
      </c>
      <c r="F58" s="4">
        <v>92.21</v>
      </c>
      <c r="G58" s="18">
        <v>12</v>
      </c>
      <c r="H58" s="4">
        <v>146.44</v>
      </c>
      <c r="I58" s="4">
        <v>33.57</v>
      </c>
      <c r="J58" s="18">
        <v>11</v>
      </c>
      <c r="K58" s="4">
        <v>107.9</v>
      </c>
      <c r="L58" s="4">
        <v>47.85</v>
      </c>
      <c r="M58" s="18">
        <v>0</v>
      </c>
      <c r="N58" s="4">
        <v>0</v>
      </c>
      <c r="O58" s="4">
        <v>0</v>
      </c>
      <c r="P58" s="18">
        <v>2</v>
      </c>
      <c r="Q58" s="4">
        <v>24.2</v>
      </c>
      <c r="R58" s="4">
        <v>10.79</v>
      </c>
      <c r="S58" s="21">
        <f t="shared" si="18"/>
        <v>25</v>
      </c>
      <c r="T58" s="4">
        <f t="shared" si="18"/>
        <v>278.54</v>
      </c>
      <c r="U58" s="4">
        <f t="shared" si="18"/>
        <v>92.21000000000001</v>
      </c>
    </row>
    <row r="59" spans="1:21" s="8" customFormat="1" ht="18" customHeight="1">
      <c r="A59" s="172" t="s">
        <v>84</v>
      </c>
      <c r="B59" s="173"/>
      <c r="C59" s="174"/>
      <c r="D59" s="1">
        <f>SUM(D53:D58)</f>
        <v>138</v>
      </c>
      <c r="E59" s="5">
        <f aca="true" t="shared" si="19" ref="E59:R59">SUM(E53:E58)</f>
        <v>1099.49</v>
      </c>
      <c r="F59" s="1">
        <f t="shared" si="19"/>
        <v>381.55</v>
      </c>
      <c r="G59" s="1">
        <f>SUM(G53:G58)</f>
        <v>85</v>
      </c>
      <c r="H59" s="1">
        <f>SUM(H53:H58)</f>
        <v>599.28</v>
      </c>
      <c r="I59" s="1">
        <f>SUM(I53:I58)</f>
        <v>165.14</v>
      </c>
      <c r="J59" s="1">
        <f t="shared" si="19"/>
        <v>44</v>
      </c>
      <c r="K59" s="1">
        <f t="shared" si="19"/>
        <v>440.23</v>
      </c>
      <c r="L59" s="5">
        <f t="shared" si="19"/>
        <v>187.60999999999999</v>
      </c>
      <c r="M59" s="1">
        <f t="shared" si="19"/>
        <v>6</v>
      </c>
      <c r="N59" s="1">
        <f t="shared" si="19"/>
        <v>30.979999999999997</v>
      </c>
      <c r="O59" s="1">
        <f t="shared" si="19"/>
        <v>16.35</v>
      </c>
      <c r="P59" s="1">
        <f t="shared" si="19"/>
        <v>3</v>
      </c>
      <c r="Q59" s="5">
        <f t="shared" si="19"/>
        <v>29</v>
      </c>
      <c r="R59" s="1">
        <f t="shared" si="19"/>
        <v>12.45</v>
      </c>
      <c r="S59" s="1">
        <f>SUM(S53:S58)</f>
        <v>138</v>
      </c>
      <c r="T59" s="5">
        <f>SUM(T53:T58)</f>
        <v>1099.49</v>
      </c>
      <c r="U59" s="1">
        <f>SUM(U53:U58)</f>
        <v>381.55000000000007</v>
      </c>
    </row>
    <row r="60" spans="1:21" s="6" customFormat="1" ht="16.5">
      <c r="A60" s="18">
        <v>47</v>
      </c>
      <c r="B60" s="178" t="s">
        <v>20</v>
      </c>
      <c r="C60" s="9" t="s">
        <v>109</v>
      </c>
      <c r="D60" s="18">
        <v>16</v>
      </c>
      <c r="E60" s="4">
        <v>163.46</v>
      </c>
      <c r="F60" s="4">
        <v>66.54</v>
      </c>
      <c r="G60" s="18">
        <v>6</v>
      </c>
      <c r="H60" s="4">
        <v>48.55</v>
      </c>
      <c r="I60" s="4">
        <v>13.36</v>
      </c>
      <c r="J60" s="18">
        <v>9</v>
      </c>
      <c r="K60" s="4">
        <v>108.94</v>
      </c>
      <c r="L60" s="4">
        <v>49.18</v>
      </c>
      <c r="M60" s="18">
        <v>0</v>
      </c>
      <c r="N60" s="4">
        <v>0</v>
      </c>
      <c r="O60" s="4">
        <v>0</v>
      </c>
      <c r="P60" s="18">
        <v>1</v>
      </c>
      <c r="Q60" s="4">
        <v>5.97</v>
      </c>
      <c r="R60" s="4">
        <v>4</v>
      </c>
      <c r="S60" s="21">
        <f aca="true" t="shared" si="20" ref="S60:U63">J60+G60+M60+P60</f>
        <v>16</v>
      </c>
      <c r="T60" s="4">
        <f t="shared" si="20"/>
        <v>163.46</v>
      </c>
      <c r="U60" s="4">
        <f t="shared" si="20"/>
        <v>66.53999999999999</v>
      </c>
    </row>
    <row r="61" spans="1:21" s="6" customFormat="1" ht="16.5">
      <c r="A61" s="18">
        <v>48</v>
      </c>
      <c r="B61" s="178"/>
      <c r="C61" s="11" t="s">
        <v>56</v>
      </c>
      <c r="D61" s="18">
        <v>21</v>
      </c>
      <c r="E61" s="4">
        <v>166.22</v>
      </c>
      <c r="F61" s="4">
        <v>77.17</v>
      </c>
      <c r="G61" s="18">
        <v>10</v>
      </c>
      <c r="H61" s="4">
        <v>60.88</v>
      </c>
      <c r="I61" s="4">
        <v>26.73</v>
      </c>
      <c r="J61" s="18">
        <v>6</v>
      </c>
      <c r="K61" s="4">
        <v>64.85</v>
      </c>
      <c r="L61" s="4">
        <v>26.65</v>
      </c>
      <c r="M61" s="18">
        <v>1</v>
      </c>
      <c r="N61" s="4">
        <v>12.38</v>
      </c>
      <c r="O61" s="4">
        <v>6.73</v>
      </c>
      <c r="P61" s="18">
        <v>4</v>
      </c>
      <c r="Q61" s="4">
        <v>28.11</v>
      </c>
      <c r="R61" s="4">
        <v>17.06</v>
      </c>
      <c r="S61" s="21">
        <f t="shared" si="20"/>
        <v>21</v>
      </c>
      <c r="T61" s="4">
        <f t="shared" si="20"/>
        <v>166.21999999999997</v>
      </c>
      <c r="U61" s="4">
        <f t="shared" si="20"/>
        <v>77.17</v>
      </c>
    </row>
    <row r="62" spans="1:21" s="6" customFormat="1" ht="16.5">
      <c r="A62" s="18">
        <v>49</v>
      </c>
      <c r="B62" s="178"/>
      <c r="C62" s="13" t="s">
        <v>57</v>
      </c>
      <c r="D62" s="18">
        <v>29</v>
      </c>
      <c r="E62" s="4">
        <v>222.74</v>
      </c>
      <c r="F62" s="4">
        <v>84.35</v>
      </c>
      <c r="G62" s="18">
        <v>16</v>
      </c>
      <c r="H62" s="4">
        <v>87.23</v>
      </c>
      <c r="I62" s="4">
        <v>20.89</v>
      </c>
      <c r="J62" s="18">
        <v>9</v>
      </c>
      <c r="K62" s="4">
        <v>105.56</v>
      </c>
      <c r="L62" s="4">
        <v>47.59</v>
      </c>
      <c r="M62" s="18">
        <v>0</v>
      </c>
      <c r="N62" s="4">
        <v>0</v>
      </c>
      <c r="O62" s="4">
        <v>0</v>
      </c>
      <c r="P62" s="18">
        <v>4</v>
      </c>
      <c r="Q62" s="4">
        <v>29.95</v>
      </c>
      <c r="R62" s="4">
        <v>15.87</v>
      </c>
      <c r="S62" s="21">
        <f t="shared" si="20"/>
        <v>29</v>
      </c>
      <c r="T62" s="4">
        <f t="shared" si="20"/>
        <v>222.74</v>
      </c>
      <c r="U62" s="4">
        <f t="shared" si="20"/>
        <v>84.35000000000001</v>
      </c>
    </row>
    <row r="63" spans="1:21" s="6" customFormat="1" ht="16.5">
      <c r="A63" s="18">
        <v>50</v>
      </c>
      <c r="B63" s="178"/>
      <c r="C63" s="9" t="s">
        <v>100</v>
      </c>
      <c r="D63" s="18">
        <v>19</v>
      </c>
      <c r="E63" s="4">
        <v>124.4</v>
      </c>
      <c r="F63" s="4">
        <v>44.23</v>
      </c>
      <c r="G63" s="18">
        <v>13</v>
      </c>
      <c r="H63" s="4">
        <v>82.15</v>
      </c>
      <c r="I63" s="4">
        <v>22.99</v>
      </c>
      <c r="J63" s="18">
        <v>6</v>
      </c>
      <c r="K63" s="4">
        <v>42.25</v>
      </c>
      <c r="L63" s="4">
        <v>21.24</v>
      </c>
      <c r="M63" s="18">
        <v>0</v>
      </c>
      <c r="N63" s="4">
        <v>0</v>
      </c>
      <c r="O63" s="4">
        <v>0</v>
      </c>
      <c r="P63" s="18">
        <v>0</v>
      </c>
      <c r="Q63" s="4">
        <v>0</v>
      </c>
      <c r="R63" s="4">
        <v>0</v>
      </c>
      <c r="S63" s="21">
        <f t="shared" si="20"/>
        <v>19</v>
      </c>
      <c r="T63" s="4">
        <f t="shared" si="20"/>
        <v>124.4</v>
      </c>
      <c r="U63" s="4">
        <f t="shared" si="20"/>
        <v>44.23</v>
      </c>
    </row>
    <row r="64" spans="1:21" s="8" customFormat="1" ht="18" customHeight="1">
      <c r="A64" s="172" t="s">
        <v>101</v>
      </c>
      <c r="B64" s="173"/>
      <c r="C64" s="174"/>
      <c r="D64" s="1">
        <f>SUM(D60:D63)</f>
        <v>85</v>
      </c>
      <c r="E64" s="1">
        <f aca="true" t="shared" si="21" ref="E64:R64">SUM(E60:E63)</f>
        <v>676.82</v>
      </c>
      <c r="F64" s="5">
        <f t="shared" si="21"/>
        <v>272.29</v>
      </c>
      <c r="G64" s="1">
        <f>SUM(G60:G63)</f>
        <v>45</v>
      </c>
      <c r="H64" s="1">
        <f>SUM(H60:H63)</f>
        <v>278.81000000000006</v>
      </c>
      <c r="I64" s="1">
        <f>SUM(I60:I63)</f>
        <v>83.97</v>
      </c>
      <c r="J64" s="1">
        <f t="shared" si="21"/>
        <v>30</v>
      </c>
      <c r="K64" s="5">
        <f t="shared" si="21"/>
        <v>321.6</v>
      </c>
      <c r="L64" s="1">
        <f t="shared" si="21"/>
        <v>144.66</v>
      </c>
      <c r="M64" s="1">
        <f t="shared" si="21"/>
        <v>1</v>
      </c>
      <c r="N64" s="1">
        <f t="shared" si="21"/>
        <v>12.38</v>
      </c>
      <c r="O64" s="1">
        <f t="shared" si="21"/>
        <v>6.73</v>
      </c>
      <c r="P64" s="1">
        <f t="shared" si="21"/>
        <v>9</v>
      </c>
      <c r="Q64" s="1">
        <f t="shared" si="21"/>
        <v>64.03</v>
      </c>
      <c r="R64" s="1">
        <f t="shared" si="21"/>
        <v>36.93</v>
      </c>
      <c r="S64" s="1">
        <f>SUM(S60:S63)</f>
        <v>85</v>
      </c>
      <c r="T64" s="1">
        <f>SUM(T60:T63)</f>
        <v>676.8199999999999</v>
      </c>
      <c r="U64" s="1">
        <f>SUM(U60:U63)</f>
        <v>272.29</v>
      </c>
    </row>
    <row r="65" spans="1:21" s="6" customFormat="1" ht="16.5">
      <c r="A65" s="18">
        <v>51</v>
      </c>
      <c r="B65" s="178" t="s">
        <v>21</v>
      </c>
      <c r="C65" s="12" t="s">
        <v>73</v>
      </c>
      <c r="D65" s="18">
        <v>30</v>
      </c>
      <c r="E65" s="4">
        <v>292.13</v>
      </c>
      <c r="F65" s="4">
        <v>110.49</v>
      </c>
      <c r="G65" s="18">
        <v>18</v>
      </c>
      <c r="H65" s="4">
        <v>118.23</v>
      </c>
      <c r="I65" s="4">
        <v>36.23</v>
      </c>
      <c r="J65" s="18">
        <v>12</v>
      </c>
      <c r="K65" s="4">
        <v>173.9</v>
      </c>
      <c r="L65" s="4">
        <v>74.26</v>
      </c>
      <c r="M65" s="18">
        <v>0</v>
      </c>
      <c r="N65" s="4">
        <v>0</v>
      </c>
      <c r="O65" s="4">
        <v>0</v>
      </c>
      <c r="P65" s="18">
        <v>0</v>
      </c>
      <c r="Q65" s="4">
        <v>0</v>
      </c>
      <c r="R65" s="4">
        <v>0</v>
      </c>
      <c r="S65" s="21">
        <f aca="true" t="shared" si="22" ref="S65:U66">J65+G65+M65+P65</f>
        <v>30</v>
      </c>
      <c r="T65" s="4">
        <f t="shared" si="22"/>
        <v>292.13</v>
      </c>
      <c r="U65" s="4">
        <f t="shared" si="22"/>
        <v>110.49000000000001</v>
      </c>
    </row>
    <row r="66" spans="1:21" s="6" customFormat="1" ht="16.5">
      <c r="A66" s="18">
        <v>52</v>
      </c>
      <c r="B66" s="178"/>
      <c r="C66" s="14" t="s">
        <v>58</v>
      </c>
      <c r="D66" s="18">
        <v>41</v>
      </c>
      <c r="E66" s="4">
        <v>349.19</v>
      </c>
      <c r="F66" s="4">
        <v>120.52</v>
      </c>
      <c r="G66" s="18">
        <v>22</v>
      </c>
      <c r="H66" s="4">
        <v>230.34</v>
      </c>
      <c r="I66" s="4">
        <v>65.12</v>
      </c>
      <c r="J66" s="18">
        <v>17</v>
      </c>
      <c r="K66" s="4">
        <v>92.14</v>
      </c>
      <c r="L66" s="4">
        <v>45.8</v>
      </c>
      <c r="M66" s="18">
        <v>1</v>
      </c>
      <c r="N66" s="4">
        <v>3.71</v>
      </c>
      <c r="O66" s="4">
        <v>1.58</v>
      </c>
      <c r="P66" s="18">
        <v>1</v>
      </c>
      <c r="Q66" s="4">
        <v>23</v>
      </c>
      <c r="R66" s="4">
        <v>8.02</v>
      </c>
      <c r="S66" s="21">
        <f t="shared" si="22"/>
        <v>41</v>
      </c>
      <c r="T66" s="4">
        <f t="shared" si="22"/>
        <v>349.19</v>
      </c>
      <c r="U66" s="4">
        <f t="shared" si="22"/>
        <v>120.52</v>
      </c>
    </row>
    <row r="67" spans="1:21" s="8" customFormat="1" ht="20.25" customHeight="1">
      <c r="A67" s="172" t="s">
        <v>83</v>
      </c>
      <c r="B67" s="173"/>
      <c r="C67" s="174"/>
      <c r="D67" s="1">
        <f>SUM(D65:D66)</f>
        <v>71</v>
      </c>
      <c r="E67" s="1">
        <f aca="true" t="shared" si="23" ref="E67:R67">SUM(E65:E66)</f>
        <v>641.3199999999999</v>
      </c>
      <c r="F67" s="1">
        <f t="shared" si="23"/>
        <v>231.01</v>
      </c>
      <c r="G67" s="1">
        <f>SUM(G65:G66)</f>
        <v>40</v>
      </c>
      <c r="H67" s="1">
        <f>SUM(H65:H66)</f>
        <v>348.57</v>
      </c>
      <c r="I67" s="1">
        <f>SUM(I65:I66)</f>
        <v>101.35</v>
      </c>
      <c r="J67" s="1">
        <f t="shared" si="23"/>
        <v>29</v>
      </c>
      <c r="K67" s="1">
        <f t="shared" si="23"/>
        <v>266.04</v>
      </c>
      <c r="L67" s="1">
        <f t="shared" si="23"/>
        <v>120.06</v>
      </c>
      <c r="M67" s="1">
        <f t="shared" si="23"/>
        <v>1</v>
      </c>
      <c r="N67" s="1">
        <f t="shared" si="23"/>
        <v>3.71</v>
      </c>
      <c r="O67" s="1">
        <f t="shared" si="23"/>
        <v>1.58</v>
      </c>
      <c r="P67" s="1">
        <f t="shared" si="23"/>
        <v>1</v>
      </c>
      <c r="Q67" s="5">
        <f t="shared" si="23"/>
        <v>23</v>
      </c>
      <c r="R67" s="5">
        <f t="shared" si="23"/>
        <v>8.02</v>
      </c>
      <c r="S67" s="1">
        <f>SUM(S65:S66)</f>
        <v>71</v>
      </c>
      <c r="T67" s="5">
        <f>SUM(T65:T66)</f>
        <v>641.3199999999999</v>
      </c>
      <c r="U67" s="5">
        <f>SUM(U65:U66)</f>
        <v>231.01</v>
      </c>
    </row>
    <row r="68" spans="1:21" s="6" customFormat="1" ht="16.5">
      <c r="A68" s="18">
        <v>53</v>
      </c>
      <c r="B68" s="178" t="s">
        <v>22</v>
      </c>
      <c r="C68" s="11" t="s">
        <v>59</v>
      </c>
      <c r="D68" s="18">
        <v>27</v>
      </c>
      <c r="E68" s="4">
        <v>228.89</v>
      </c>
      <c r="F68" s="4">
        <v>85.73</v>
      </c>
      <c r="G68" s="18">
        <v>10</v>
      </c>
      <c r="H68" s="4">
        <v>73.29</v>
      </c>
      <c r="I68" s="4">
        <v>16.06</v>
      </c>
      <c r="J68" s="18">
        <v>16</v>
      </c>
      <c r="K68" s="4">
        <v>142.22</v>
      </c>
      <c r="L68" s="4">
        <v>62.97</v>
      </c>
      <c r="M68" s="18">
        <v>1</v>
      </c>
      <c r="N68" s="4">
        <v>13.38</v>
      </c>
      <c r="O68" s="4">
        <v>6.7</v>
      </c>
      <c r="P68" s="18">
        <v>0</v>
      </c>
      <c r="Q68" s="4">
        <v>0</v>
      </c>
      <c r="R68" s="4">
        <v>0</v>
      </c>
      <c r="S68" s="21">
        <f aca="true" t="shared" si="24" ref="S68:U73">J68+G68+M68+P68</f>
        <v>27</v>
      </c>
      <c r="T68" s="4">
        <f t="shared" si="24"/>
        <v>228.89</v>
      </c>
      <c r="U68" s="4">
        <f t="shared" si="24"/>
        <v>85.73</v>
      </c>
    </row>
    <row r="69" spans="1:21" s="6" customFormat="1" ht="16.5">
      <c r="A69" s="18">
        <v>54</v>
      </c>
      <c r="B69" s="178"/>
      <c r="C69" s="12" t="s">
        <v>60</v>
      </c>
      <c r="D69" s="18">
        <v>13</v>
      </c>
      <c r="E69" s="4">
        <v>79.95</v>
      </c>
      <c r="F69" s="4">
        <v>26.01</v>
      </c>
      <c r="G69" s="18">
        <v>8</v>
      </c>
      <c r="H69" s="4">
        <v>37.76</v>
      </c>
      <c r="I69" s="4">
        <v>11.27</v>
      </c>
      <c r="J69" s="18">
        <v>5</v>
      </c>
      <c r="K69" s="4">
        <v>42.19</v>
      </c>
      <c r="L69" s="4">
        <v>14.74</v>
      </c>
      <c r="M69" s="18">
        <v>0</v>
      </c>
      <c r="N69" s="4">
        <v>0</v>
      </c>
      <c r="O69" s="4">
        <v>0</v>
      </c>
      <c r="P69" s="18">
        <v>0</v>
      </c>
      <c r="Q69" s="4">
        <v>0</v>
      </c>
      <c r="R69" s="4">
        <v>0</v>
      </c>
      <c r="S69" s="21">
        <f t="shared" si="24"/>
        <v>13</v>
      </c>
      <c r="T69" s="4">
        <f t="shared" si="24"/>
        <v>79.94999999999999</v>
      </c>
      <c r="U69" s="4">
        <f t="shared" si="24"/>
        <v>26.009999999999998</v>
      </c>
    </row>
    <row r="70" spans="1:21" s="6" customFormat="1" ht="16.5">
      <c r="A70" s="18">
        <v>55</v>
      </c>
      <c r="B70" s="178"/>
      <c r="C70" s="11" t="s">
        <v>61</v>
      </c>
      <c r="D70" s="18">
        <v>30</v>
      </c>
      <c r="E70" s="4">
        <v>209.27</v>
      </c>
      <c r="F70" s="4">
        <v>78.41</v>
      </c>
      <c r="G70" s="18">
        <v>16</v>
      </c>
      <c r="H70" s="4">
        <v>99.71</v>
      </c>
      <c r="I70" s="4">
        <v>24.6</v>
      </c>
      <c r="J70" s="18">
        <v>13</v>
      </c>
      <c r="K70" s="4">
        <v>103.86</v>
      </c>
      <c r="L70" s="4">
        <v>51.67</v>
      </c>
      <c r="M70" s="18">
        <v>1</v>
      </c>
      <c r="N70" s="4">
        <v>5.7</v>
      </c>
      <c r="O70" s="4">
        <v>2.14</v>
      </c>
      <c r="P70" s="18">
        <v>0</v>
      </c>
      <c r="Q70" s="4">
        <v>0</v>
      </c>
      <c r="R70" s="4">
        <v>0</v>
      </c>
      <c r="S70" s="21">
        <f t="shared" si="24"/>
        <v>30</v>
      </c>
      <c r="T70" s="4">
        <f t="shared" si="24"/>
        <v>209.26999999999998</v>
      </c>
      <c r="U70" s="4">
        <f t="shared" si="24"/>
        <v>78.41000000000001</v>
      </c>
    </row>
    <row r="71" spans="1:21" s="6" customFormat="1" ht="16.5">
      <c r="A71" s="18">
        <v>56</v>
      </c>
      <c r="B71" s="178"/>
      <c r="C71" s="11" t="s">
        <v>62</v>
      </c>
      <c r="D71" s="18">
        <v>17</v>
      </c>
      <c r="E71" s="4">
        <v>239.99</v>
      </c>
      <c r="F71" s="4">
        <v>81.23</v>
      </c>
      <c r="G71" s="18">
        <v>11</v>
      </c>
      <c r="H71" s="4">
        <v>168.73</v>
      </c>
      <c r="I71" s="4">
        <v>42.39</v>
      </c>
      <c r="J71" s="18">
        <v>6</v>
      </c>
      <c r="K71" s="4">
        <v>71.26</v>
      </c>
      <c r="L71" s="4">
        <v>38.84</v>
      </c>
      <c r="M71" s="18">
        <v>0</v>
      </c>
      <c r="N71" s="4">
        <v>0</v>
      </c>
      <c r="O71" s="4">
        <v>0</v>
      </c>
      <c r="P71" s="18">
        <v>0</v>
      </c>
      <c r="Q71" s="4">
        <v>0</v>
      </c>
      <c r="R71" s="4">
        <v>0</v>
      </c>
      <c r="S71" s="21">
        <f t="shared" si="24"/>
        <v>17</v>
      </c>
      <c r="T71" s="4">
        <f t="shared" si="24"/>
        <v>239.99</v>
      </c>
      <c r="U71" s="4">
        <f t="shared" si="24"/>
        <v>81.23</v>
      </c>
    </row>
    <row r="72" spans="1:21" s="6" customFormat="1" ht="16.5">
      <c r="A72" s="18">
        <v>57</v>
      </c>
      <c r="B72" s="178"/>
      <c r="C72" s="11" t="s">
        <v>63</v>
      </c>
      <c r="D72" s="18">
        <v>31</v>
      </c>
      <c r="E72" s="4">
        <v>218.89</v>
      </c>
      <c r="F72" s="4">
        <v>77.22</v>
      </c>
      <c r="G72" s="18">
        <v>20</v>
      </c>
      <c r="H72" s="4">
        <v>131.13</v>
      </c>
      <c r="I72" s="4">
        <v>34.73</v>
      </c>
      <c r="J72" s="18">
        <v>9</v>
      </c>
      <c r="K72" s="4">
        <v>65.66</v>
      </c>
      <c r="L72" s="4">
        <v>34.07</v>
      </c>
      <c r="M72" s="18">
        <v>1</v>
      </c>
      <c r="N72" s="4">
        <v>14</v>
      </c>
      <c r="O72" s="4">
        <v>6.01</v>
      </c>
      <c r="P72" s="18">
        <v>1</v>
      </c>
      <c r="Q72" s="4">
        <v>8.1</v>
      </c>
      <c r="R72" s="4">
        <v>2.41</v>
      </c>
      <c r="S72" s="21">
        <f t="shared" si="24"/>
        <v>31</v>
      </c>
      <c r="T72" s="4">
        <f t="shared" si="24"/>
        <v>218.89</v>
      </c>
      <c r="U72" s="4">
        <f t="shared" si="24"/>
        <v>77.22</v>
      </c>
    </row>
    <row r="73" spans="1:21" s="6" customFormat="1" ht="16.5">
      <c r="A73" s="18">
        <v>58</v>
      </c>
      <c r="B73" s="178"/>
      <c r="C73" s="9" t="s">
        <v>64</v>
      </c>
      <c r="D73" s="18">
        <v>12</v>
      </c>
      <c r="E73" s="4">
        <v>95.5</v>
      </c>
      <c r="F73" s="4">
        <v>24.31</v>
      </c>
      <c r="G73" s="18">
        <v>10</v>
      </c>
      <c r="H73" s="4">
        <v>75.65</v>
      </c>
      <c r="I73" s="4">
        <v>14.53</v>
      </c>
      <c r="J73" s="18">
        <v>2</v>
      </c>
      <c r="K73" s="4">
        <v>19.85</v>
      </c>
      <c r="L73" s="4">
        <v>9.78</v>
      </c>
      <c r="M73" s="18">
        <v>0</v>
      </c>
      <c r="N73" s="4">
        <v>0</v>
      </c>
      <c r="O73" s="4">
        <v>0</v>
      </c>
      <c r="P73" s="18">
        <v>0</v>
      </c>
      <c r="Q73" s="4">
        <v>0</v>
      </c>
      <c r="R73" s="4">
        <v>0</v>
      </c>
      <c r="S73" s="21">
        <f t="shared" si="24"/>
        <v>12</v>
      </c>
      <c r="T73" s="4">
        <f t="shared" si="24"/>
        <v>95.5</v>
      </c>
      <c r="U73" s="4">
        <f t="shared" si="24"/>
        <v>24.31</v>
      </c>
    </row>
    <row r="74" spans="1:21" s="8" customFormat="1" ht="13.5">
      <c r="A74" s="172" t="s">
        <v>82</v>
      </c>
      <c r="B74" s="173"/>
      <c r="C74" s="174"/>
      <c r="D74" s="1">
        <f>SUM(D68:D73)</f>
        <v>130</v>
      </c>
      <c r="E74" s="1">
        <f aca="true" t="shared" si="25" ref="E74:R74">SUM(E68:E73)</f>
        <v>1072.49</v>
      </c>
      <c r="F74" s="5">
        <f t="shared" si="25"/>
        <v>372.91</v>
      </c>
      <c r="G74" s="1">
        <f>SUM(G68:G73)</f>
        <v>75</v>
      </c>
      <c r="H74" s="1">
        <f>SUM(H68:H73)</f>
        <v>586.27</v>
      </c>
      <c r="I74" s="1">
        <f>SUM(I68:I73)</f>
        <v>143.57999999999998</v>
      </c>
      <c r="J74" s="1">
        <f t="shared" si="25"/>
        <v>51</v>
      </c>
      <c r="K74" s="1">
        <f t="shared" si="25"/>
        <v>445.03999999999996</v>
      </c>
      <c r="L74" s="1">
        <f t="shared" si="25"/>
        <v>212.07</v>
      </c>
      <c r="M74" s="1">
        <f t="shared" si="25"/>
        <v>3</v>
      </c>
      <c r="N74" s="1">
        <f t="shared" si="25"/>
        <v>33.08</v>
      </c>
      <c r="O74" s="1">
        <f t="shared" si="25"/>
        <v>14.85</v>
      </c>
      <c r="P74" s="1">
        <f t="shared" si="25"/>
        <v>1</v>
      </c>
      <c r="Q74" s="5">
        <f t="shared" si="25"/>
        <v>8.1</v>
      </c>
      <c r="R74" s="1">
        <f t="shared" si="25"/>
        <v>2.41</v>
      </c>
      <c r="S74" s="1">
        <f>SUM(S68:S73)</f>
        <v>130</v>
      </c>
      <c r="T74" s="5">
        <f>SUM(T68:T73)</f>
        <v>1072.4899999999998</v>
      </c>
      <c r="U74" s="1">
        <f>SUM(U68:U73)</f>
        <v>372.91</v>
      </c>
    </row>
    <row r="75" spans="1:21" s="6" customFormat="1" ht="16.5">
      <c r="A75" s="18">
        <v>59</v>
      </c>
      <c r="B75" s="181" t="s">
        <v>23</v>
      </c>
      <c r="C75" s="9" t="s">
        <v>65</v>
      </c>
      <c r="D75" s="18">
        <v>4</v>
      </c>
      <c r="E75" s="4">
        <v>18.8</v>
      </c>
      <c r="F75" s="4">
        <v>2</v>
      </c>
      <c r="G75" s="18">
        <v>4</v>
      </c>
      <c r="H75" s="4">
        <v>18.8</v>
      </c>
      <c r="I75" s="4">
        <v>2</v>
      </c>
      <c r="J75" s="18">
        <v>0</v>
      </c>
      <c r="K75" s="4">
        <v>0</v>
      </c>
      <c r="L75" s="4">
        <v>0</v>
      </c>
      <c r="M75" s="18">
        <v>0</v>
      </c>
      <c r="N75" s="4">
        <v>0</v>
      </c>
      <c r="O75" s="4">
        <v>0</v>
      </c>
      <c r="P75" s="18">
        <v>0</v>
      </c>
      <c r="Q75" s="4">
        <v>0</v>
      </c>
      <c r="R75" s="4">
        <v>0</v>
      </c>
      <c r="S75" s="21">
        <f aca="true" t="shared" si="26" ref="S75:S83">J75+G75+M75+P75</f>
        <v>4</v>
      </c>
      <c r="T75" s="4">
        <f aca="true" t="shared" si="27" ref="T75:T83">K75+H75+N75+Q75</f>
        <v>18.8</v>
      </c>
      <c r="U75" s="4">
        <f aca="true" t="shared" si="28" ref="U75:U83">L75+I75+O75+R75</f>
        <v>2</v>
      </c>
    </row>
    <row r="76" spans="1:21" s="6" customFormat="1" ht="16.5">
      <c r="A76" s="18">
        <v>60</v>
      </c>
      <c r="B76" s="181"/>
      <c r="C76" s="10" t="s">
        <v>66</v>
      </c>
      <c r="D76" s="18">
        <v>1</v>
      </c>
      <c r="E76" s="4">
        <v>1.85</v>
      </c>
      <c r="F76" s="4">
        <v>0.5</v>
      </c>
      <c r="G76" s="18">
        <v>1</v>
      </c>
      <c r="H76" s="4">
        <v>1.85</v>
      </c>
      <c r="I76" s="4">
        <v>0.5</v>
      </c>
      <c r="J76" s="18">
        <v>0</v>
      </c>
      <c r="K76" s="4">
        <v>0</v>
      </c>
      <c r="L76" s="4">
        <v>0</v>
      </c>
      <c r="M76" s="18">
        <v>0</v>
      </c>
      <c r="N76" s="4">
        <v>0</v>
      </c>
      <c r="O76" s="4">
        <v>0</v>
      </c>
      <c r="P76" s="18">
        <v>0</v>
      </c>
      <c r="Q76" s="4">
        <v>0</v>
      </c>
      <c r="R76" s="4">
        <v>0</v>
      </c>
      <c r="S76" s="21">
        <f t="shared" si="26"/>
        <v>1</v>
      </c>
      <c r="T76" s="4">
        <f t="shared" si="27"/>
        <v>1.85</v>
      </c>
      <c r="U76" s="4">
        <f t="shared" si="28"/>
        <v>0.5</v>
      </c>
    </row>
    <row r="77" spans="1:21" s="6" customFormat="1" ht="16.5">
      <c r="A77" s="18">
        <v>61</v>
      </c>
      <c r="B77" s="181"/>
      <c r="C77" s="12" t="s">
        <v>67</v>
      </c>
      <c r="D77" s="18">
        <v>2</v>
      </c>
      <c r="E77" s="4">
        <v>2.6</v>
      </c>
      <c r="F77" s="4">
        <v>1.17</v>
      </c>
      <c r="G77" s="18">
        <v>2</v>
      </c>
      <c r="H77" s="4">
        <v>2.6</v>
      </c>
      <c r="I77" s="4">
        <v>1.17</v>
      </c>
      <c r="J77" s="18">
        <v>0</v>
      </c>
      <c r="K77" s="4">
        <v>0</v>
      </c>
      <c r="L77" s="4">
        <v>0</v>
      </c>
      <c r="M77" s="18">
        <v>0</v>
      </c>
      <c r="N77" s="4">
        <v>0</v>
      </c>
      <c r="O77" s="4">
        <v>0</v>
      </c>
      <c r="P77" s="18">
        <v>0</v>
      </c>
      <c r="Q77" s="4">
        <v>0</v>
      </c>
      <c r="R77" s="4">
        <v>0</v>
      </c>
      <c r="S77" s="21">
        <f t="shared" si="26"/>
        <v>2</v>
      </c>
      <c r="T77" s="4">
        <f t="shared" si="27"/>
        <v>2.6</v>
      </c>
      <c r="U77" s="4">
        <f t="shared" si="28"/>
        <v>1.17</v>
      </c>
    </row>
    <row r="78" spans="1:21" s="6" customFormat="1" ht="16.5">
      <c r="A78" s="18">
        <v>62</v>
      </c>
      <c r="B78" s="181"/>
      <c r="C78" s="9" t="s">
        <v>68</v>
      </c>
      <c r="D78" s="18">
        <v>4</v>
      </c>
      <c r="E78" s="4">
        <v>8.86</v>
      </c>
      <c r="F78" s="4">
        <v>3.38</v>
      </c>
      <c r="G78" s="18">
        <v>4</v>
      </c>
      <c r="H78" s="4">
        <v>8.86</v>
      </c>
      <c r="I78" s="4">
        <v>3.38</v>
      </c>
      <c r="J78" s="18">
        <v>0</v>
      </c>
      <c r="K78" s="4">
        <v>0</v>
      </c>
      <c r="L78" s="4">
        <v>0</v>
      </c>
      <c r="M78" s="18">
        <v>0</v>
      </c>
      <c r="N78" s="4">
        <v>0</v>
      </c>
      <c r="O78" s="4">
        <v>0</v>
      </c>
      <c r="P78" s="18">
        <v>0</v>
      </c>
      <c r="Q78" s="4">
        <v>0</v>
      </c>
      <c r="R78" s="4">
        <v>0</v>
      </c>
      <c r="S78" s="21">
        <f t="shared" si="26"/>
        <v>4</v>
      </c>
      <c r="T78" s="4">
        <f t="shared" si="27"/>
        <v>8.86</v>
      </c>
      <c r="U78" s="4">
        <f t="shared" si="28"/>
        <v>3.38</v>
      </c>
    </row>
    <row r="79" spans="1:21" s="6" customFormat="1" ht="16.5">
      <c r="A79" s="18">
        <v>63</v>
      </c>
      <c r="B79" s="181"/>
      <c r="C79" s="11" t="s">
        <v>69</v>
      </c>
      <c r="D79" s="18">
        <v>4</v>
      </c>
      <c r="E79" s="4">
        <v>14.4</v>
      </c>
      <c r="F79" s="4">
        <v>8</v>
      </c>
      <c r="G79" s="18">
        <v>3</v>
      </c>
      <c r="H79" s="4">
        <v>14.4</v>
      </c>
      <c r="I79" s="4">
        <v>4.18</v>
      </c>
      <c r="J79" s="18">
        <v>1</v>
      </c>
      <c r="K79" s="4">
        <v>0</v>
      </c>
      <c r="L79" s="4">
        <v>3.82</v>
      </c>
      <c r="M79" s="18">
        <v>0</v>
      </c>
      <c r="N79" s="4">
        <v>0</v>
      </c>
      <c r="O79" s="4">
        <v>0</v>
      </c>
      <c r="P79" s="18">
        <v>0</v>
      </c>
      <c r="Q79" s="4">
        <v>0</v>
      </c>
      <c r="R79" s="4">
        <v>0</v>
      </c>
      <c r="S79" s="21">
        <f t="shared" si="26"/>
        <v>4</v>
      </c>
      <c r="T79" s="4">
        <f t="shared" si="27"/>
        <v>14.4</v>
      </c>
      <c r="U79" s="4">
        <f t="shared" si="28"/>
        <v>8</v>
      </c>
    </row>
    <row r="80" spans="1:21" s="6" customFormat="1" ht="16.5">
      <c r="A80" s="18">
        <v>64</v>
      </c>
      <c r="B80" s="181"/>
      <c r="C80" s="11" t="s">
        <v>70</v>
      </c>
      <c r="D80" s="18">
        <v>19</v>
      </c>
      <c r="E80" s="4">
        <v>40.85</v>
      </c>
      <c r="F80" s="4">
        <v>12.46</v>
      </c>
      <c r="G80" s="18">
        <v>19</v>
      </c>
      <c r="H80" s="4">
        <v>40.85</v>
      </c>
      <c r="I80" s="4">
        <v>12.46</v>
      </c>
      <c r="J80" s="18">
        <v>0</v>
      </c>
      <c r="K80" s="4">
        <v>0</v>
      </c>
      <c r="L80" s="4">
        <v>0</v>
      </c>
      <c r="M80" s="18">
        <v>0</v>
      </c>
      <c r="N80" s="4">
        <v>0</v>
      </c>
      <c r="O80" s="4">
        <v>0</v>
      </c>
      <c r="P80" s="18">
        <v>0</v>
      </c>
      <c r="Q80" s="4">
        <v>0</v>
      </c>
      <c r="R80" s="4">
        <v>0</v>
      </c>
      <c r="S80" s="21">
        <f t="shared" si="26"/>
        <v>19</v>
      </c>
      <c r="T80" s="4">
        <f t="shared" si="27"/>
        <v>40.85</v>
      </c>
      <c r="U80" s="4">
        <f t="shared" si="28"/>
        <v>12.46</v>
      </c>
    </row>
    <row r="81" spans="1:21" s="6" customFormat="1" ht="16.5">
      <c r="A81" s="18">
        <v>65</v>
      </c>
      <c r="B81" s="25"/>
      <c r="C81" s="17" t="s">
        <v>97</v>
      </c>
      <c r="D81" s="18">
        <v>0</v>
      </c>
      <c r="E81" s="4">
        <v>0</v>
      </c>
      <c r="F81" s="4">
        <v>0</v>
      </c>
      <c r="G81" s="18">
        <v>0</v>
      </c>
      <c r="H81" s="4">
        <v>0</v>
      </c>
      <c r="I81" s="4">
        <v>0</v>
      </c>
      <c r="J81" s="18">
        <v>0</v>
      </c>
      <c r="K81" s="4">
        <v>0</v>
      </c>
      <c r="L81" s="4">
        <v>0</v>
      </c>
      <c r="M81" s="18">
        <v>0</v>
      </c>
      <c r="N81" s="4">
        <v>0</v>
      </c>
      <c r="O81" s="4">
        <v>0</v>
      </c>
      <c r="P81" s="18">
        <v>0</v>
      </c>
      <c r="Q81" s="4">
        <v>0</v>
      </c>
      <c r="R81" s="4">
        <v>0</v>
      </c>
      <c r="S81" s="21">
        <f t="shared" si="26"/>
        <v>0</v>
      </c>
      <c r="T81" s="4">
        <f t="shared" si="27"/>
        <v>0</v>
      </c>
      <c r="U81" s="4">
        <f t="shared" si="28"/>
        <v>0</v>
      </c>
    </row>
    <row r="82" spans="1:21" s="6" customFormat="1" ht="16.5">
      <c r="A82" s="18">
        <v>66</v>
      </c>
      <c r="B82" s="25"/>
      <c r="C82" s="17" t="s">
        <v>96</v>
      </c>
      <c r="D82" s="18">
        <v>0</v>
      </c>
      <c r="E82" s="4">
        <v>0</v>
      </c>
      <c r="F82" s="4">
        <v>0</v>
      </c>
      <c r="G82" s="18">
        <v>0</v>
      </c>
      <c r="H82" s="4">
        <v>0</v>
      </c>
      <c r="I82" s="4">
        <v>0</v>
      </c>
      <c r="J82" s="18">
        <v>0</v>
      </c>
      <c r="K82" s="4">
        <v>0</v>
      </c>
      <c r="L82" s="4">
        <v>0</v>
      </c>
      <c r="M82" s="18">
        <v>0</v>
      </c>
      <c r="N82" s="4">
        <v>0</v>
      </c>
      <c r="O82" s="4">
        <v>0</v>
      </c>
      <c r="P82" s="18">
        <v>0</v>
      </c>
      <c r="Q82" s="4">
        <v>0</v>
      </c>
      <c r="R82" s="4">
        <v>0</v>
      </c>
      <c r="S82" s="21">
        <f t="shared" si="26"/>
        <v>0</v>
      </c>
      <c r="T82" s="4">
        <f t="shared" si="27"/>
        <v>0</v>
      </c>
      <c r="U82" s="4">
        <f t="shared" si="28"/>
        <v>0</v>
      </c>
    </row>
    <row r="83" spans="1:21" s="6" customFormat="1" ht="16.5">
      <c r="A83" s="18">
        <v>67</v>
      </c>
      <c r="B83" s="25"/>
      <c r="C83" s="17" t="s">
        <v>95</v>
      </c>
      <c r="D83" s="18">
        <v>0</v>
      </c>
      <c r="E83" s="4">
        <v>0</v>
      </c>
      <c r="F83" s="4">
        <v>0</v>
      </c>
      <c r="G83" s="18">
        <v>0</v>
      </c>
      <c r="H83" s="4">
        <v>0</v>
      </c>
      <c r="I83" s="4">
        <v>0</v>
      </c>
      <c r="J83" s="18">
        <v>0</v>
      </c>
      <c r="K83" s="4">
        <v>0</v>
      </c>
      <c r="L83" s="4">
        <v>0</v>
      </c>
      <c r="M83" s="18">
        <v>0</v>
      </c>
      <c r="N83" s="4">
        <v>0</v>
      </c>
      <c r="O83" s="4">
        <v>0</v>
      </c>
      <c r="P83" s="18">
        <v>0</v>
      </c>
      <c r="Q83" s="4">
        <v>0</v>
      </c>
      <c r="R83" s="4">
        <v>0</v>
      </c>
      <c r="S83" s="21">
        <f t="shared" si="26"/>
        <v>0</v>
      </c>
      <c r="T83" s="4">
        <f t="shared" si="27"/>
        <v>0</v>
      </c>
      <c r="U83" s="4">
        <f t="shared" si="28"/>
        <v>0</v>
      </c>
    </row>
    <row r="84" spans="1:21" s="8" customFormat="1" ht="15.75" customHeight="1">
      <c r="A84" s="172" t="s">
        <v>81</v>
      </c>
      <c r="B84" s="173"/>
      <c r="C84" s="174"/>
      <c r="D84" s="1">
        <f>SUM(D75:D83)</f>
        <v>34</v>
      </c>
      <c r="E84" s="1">
        <f aca="true" t="shared" si="29" ref="E84:U84">SUM(E75:E83)</f>
        <v>87.36</v>
      </c>
      <c r="F84" s="1">
        <f t="shared" si="29"/>
        <v>27.51</v>
      </c>
      <c r="G84" s="1">
        <f>SUM(G75:G83)</f>
        <v>33</v>
      </c>
      <c r="H84" s="1">
        <f>SUM(H75:H83)</f>
        <v>87.36</v>
      </c>
      <c r="I84" s="1">
        <f>SUM(I75:I83)</f>
        <v>23.69</v>
      </c>
      <c r="J84" s="1">
        <f t="shared" si="29"/>
        <v>1</v>
      </c>
      <c r="K84" s="5">
        <f t="shared" si="29"/>
        <v>0</v>
      </c>
      <c r="L84" s="1">
        <f t="shared" si="29"/>
        <v>3.82</v>
      </c>
      <c r="M84" s="1">
        <f t="shared" si="29"/>
        <v>0</v>
      </c>
      <c r="N84" s="5">
        <f t="shared" si="29"/>
        <v>0</v>
      </c>
      <c r="O84" s="5">
        <f t="shared" si="29"/>
        <v>0</v>
      </c>
      <c r="P84" s="1">
        <f t="shared" si="29"/>
        <v>0</v>
      </c>
      <c r="Q84" s="5">
        <f t="shared" si="29"/>
        <v>0</v>
      </c>
      <c r="R84" s="5">
        <f t="shared" si="29"/>
        <v>0</v>
      </c>
      <c r="S84" s="1">
        <f t="shared" si="29"/>
        <v>34</v>
      </c>
      <c r="T84" s="1">
        <f t="shared" si="29"/>
        <v>87.36</v>
      </c>
      <c r="U84" s="1">
        <f t="shared" si="29"/>
        <v>27.51</v>
      </c>
    </row>
    <row r="85" spans="1:21" s="6" customFormat="1" ht="16.5">
      <c r="A85" s="18">
        <v>68</v>
      </c>
      <c r="B85" s="178" t="s">
        <v>24</v>
      </c>
      <c r="C85" s="12" t="s">
        <v>71</v>
      </c>
      <c r="D85" s="18">
        <v>18</v>
      </c>
      <c r="E85" s="4">
        <v>96.92</v>
      </c>
      <c r="F85" s="4">
        <v>32.25</v>
      </c>
      <c r="G85" s="18">
        <v>10</v>
      </c>
      <c r="H85" s="4">
        <v>36.98</v>
      </c>
      <c r="I85" s="4">
        <v>13.98</v>
      </c>
      <c r="J85" s="18">
        <v>7</v>
      </c>
      <c r="K85" s="4">
        <v>50.11</v>
      </c>
      <c r="L85" s="4">
        <v>15.28</v>
      </c>
      <c r="M85" s="18">
        <v>1</v>
      </c>
      <c r="N85" s="4">
        <v>9.83</v>
      </c>
      <c r="O85" s="4">
        <v>2.99</v>
      </c>
      <c r="P85" s="18">
        <v>0</v>
      </c>
      <c r="Q85" s="4">
        <v>0</v>
      </c>
      <c r="R85" s="4">
        <v>0</v>
      </c>
      <c r="S85" s="21">
        <f aca="true" t="shared" si="30" ref="S85:U87">J85+G85+M85+P85</f>
        <v>18</v>
      </c>
      <c r="T85" s="4">
        <f t="shared" si="30"/>
        <v>96.92</v>
      </c>
      <c r="U85" s="4">
        <f t="shared" si="30"/>
        <v>32.25</v>
      </c>
    </row>
    <row r="86" spans="1:21" s="6" customFormat="1" ht="18" customHeight="1">
      <c r="A86" s="18">
        <v>69</v>
      </c>
      <c r="B86" s="178"/>
      <c r="C86" s="11" t="s">
        <v>72</v>
      </c>
      <c r="D86" s="18">
        <v>15</v>
      </c>
      <c r="E86" s="4">
        <v>123.36</v>
      </c>
      <c r="F86" s="4">
        <v>33.87</v>
      </c>
      <c r="G86" s="18">
        <v>10</v>
      </c>
      <c r="H86" s="4">
        <v>72.4</v>
      </c>
      <c r="I86" s="4">
        <v>14.46</v>
      </c>
      <c r="J86" s="18">
        <v>5</v>
      </c>
      <c r="K86" s="4">
        <v>50.96</v>
      </c>
      <c r="L86" s="4">
        <v>19.41</v>
      </c>
      <c r="M86" s="18">
        <v>0</v>
      </c>
      <c r="N86" s="4">
        <v>0</v>
      </c>
      <c r="O86" s="4">
        <v>0</v>
      </c>
      <c r="P86" s="18">
        <v>0</v>
      </c>
      <c r="Q86" s="4">
        <v>0</v>
      </c>
      <c r="R86" s="4">
        <v>0</v>
      </c>
      <c r="S86" s="21">
        <f t="shared" si="30"/>
        <v>15</v>
      </c>
      <c r="T86" s="4">
        <f t="shared" si="30"/>
        <v>123.36000000000001</v>
      </c>
      <c r="U86" s="4">
        <f t="shared" si="30"/>
        <v>33.870000000000005</v>
      </c>
    </row>
    <row r="87" spans="1:21" s="6" customFormat="1" ht="16.5">
      <c r="A87" s="18">
        <v>70</v>
      </c>
      <c r="B87" s="178"/>
      <c r="C87" s="11" t="s">
        <v>110</v>
      </c>
      <c r="D87" s="18">
        <v>25</v>
      </c>
      <c r="E87" s="4">
        <v>191</v>
      </c>
      <c r="F87" s="4">
        <v>57.11</v>
      </c>
      <c r="G87" s="18">
        <v>13</v>
      </c>
      <c r="H87" s="4">
        <v>87.07</v>
      </c>
      <c r="I87" s="4">
        <v>19.59</v>
      </c>
      <c r="J87" s="18">
        <v>9</v>
      </c>
      <c r="K87" s="4">
        <v>84.12</v>
      </c>
      <c r="L87" s="4">
        <v>29.49</v>
      </c>
      <c r="M87" s="18">
        <v>1</v>
      </c>
      <c r="N87" s="4">
        <v>1.89</v>
      </c>
      <c r="O87" s="4">
        <v>0.54</v>
      </c>
      <c r="P87" s="18">
        <v>2</v>
      </c>
      <c r="Q87" s="4">
        <v>17.92</v>
      </c>
      <c r="R87" s="4">
        <v>7.49</v>
      </c>
      <c r="S87" s="21">
        <f t="shared" si="30"/>
        <v>25</v>
      </c>
      <c r="T87" s="4">
        <f t="shared" si="30"/>
        <v>191</v>
      </c>
      <c r="U87" s="4">
        <f t="shared" si="30"/>
        <v>57.11</v>
      </c>
    </row>
    <row r="88" spans="1:21" s="8" customFormat="1" ht="18.75" customHeight="1">
      <c r="A88" s="172" t="s">
        <v>80</v>
      </c>
      <c r="B88" s="173"/>
      <c r="C88" s="174"/>
      <c r="D88" s="1">
        <f>SUM(D85:D87)</f>
        <v>58</v>
      </c>
      <c r="E88" s="1">
        <f aca="true" t="shared" si="31" ref="E88:R88">SUM(E85:E87)</f>
        <v>411.28</v>
      </c>
      <c r="F88" s="1">
        <f t="shared" si="31"/>
        <v>123.23</v>
      </c>
      <c r="G88" s="1">
        <f>SUM(G85:G87)</f>
        <v>33</v>
      </c>
      <c r="H88" s="1">
        <f>SUM(H85:H87)</f>
        <v>196.45</v>
      </c>
      <c r="I88" s="1">
        <f>SUM(I85:I87)</f>
        <v>48.03</v>
      </c>
      <c r="J88" s="1">
        <f t="shared" si="31"/>
        <v>21</v>
      </c>
      <c r="K88" s="1">
        <f t="shared" si="31"/>
        <v>185.19</v>
      </c>
      <c r="L88" s="1">
        <f t="shared" si="31"/>
        <v>64.17999999999999</v>
      </c>
      <c r="M88" s="1">
        <f t="shared" si="31"/>
        <v>2</v>
      </c>
      <c r="N88" s="1">
        <f t="shared" si="31"/>
        <v>11.72</v>
      </c>
      <c r="O88" s="1">
        <f t="shared" si="31"/>
        <v>3.5300000000000002</v>
      </c>
      <c r="P88" s="1">
        <f t="shared" si="31"/>
        <v>2</v>
      </c>
      <c r="Q88" s="1">
        <f t="shared" si="31"/>
        <v>17.92</v>
      </c>
      <c r="R88" s="1">
        <f t="shared" si="31"/>
        <v>7.49</v>
      </c>
      <c r="S88" s="1">
        <f>SUM(S85:S87)</f>
        <v>58</v>
      </c>
      <c r="T88" s="1">
        <f>SUM(T85:T87)</f>
        <v>411.28000000000003</v>
      </c>
      <c r="U88" s="1">
        <f>SUM(U85:U87)</f>
        <v>123.23</v>
      </c>
    </row>
    <row r="89" spans="1:21" s="6" customFormat="1" ht="19.5" customHeight="1">
      <c r="A89" s="175" t="s">
        <v>102</v>
      </c>
      <c r="B89" s="179"/>
      <c r="C89" s="180"/>
      <c r="D89" s="1">
        <f>D88+D84+D74+D67+D64+D59+D52+D45+D33+D22+D19+D15+D12</f>
        <v>1125</v>
      </c>
      <c r="E89" s="1">
        <f aca="true" t="shared" si="32" ref="E89:R89">E88+E84+E74+E67+E64+E59+E52+E45+E33+E22+E19+E15+E12</f>
        <v>8599.11</v>
      </c>
      <c r="F89" s="5">
        <f t="shared" si="32"/>
        <v>3011.0499999999997</v>
      </c>
      <c r="G89" s="1">
        <f>G88+G84+G74+G67+G64+G59+G52+G45+G33+G22+G19+G15+G12</f>
        <v>685</v>
      </c>
      <c r="H89" s="1">
        <f>H88+H84+H74+H67+H64+H59+H52+H45+H33+H22+H19+H15+H12</f>
        <v>4724.8099999999995</v>
      </c>
      <c r="I89" s="5">
        <f>I88+I84+I74+I67+I64+I59+I52+I45+I33+I22+I19+I15+I12</f>
        <v>1292.22</v>
      </c>
      <c r="J89" s="1">
        <f t="shared" si="32"/>
        <v>369</v>
      </c>
      <c r="K89" s="5">
        <f t="shared" si="32"/>
        <v>3135.9500000000003</v>
      </c>
      <c r="L89" s="5">
        <f t="shared" si="32"/>
        <v>1353.6599999999999</v>
      </c>
      <c r="M89" s="1">
        <f t="shared" si="32"/>
        <v>27</v>
      </c>
      <c r="N89" s="5">
        <f t="shared" si="32"/>
        <v>285.06</v>
      </c>
      <c r="O89" s="1">
        <f t="shared" si="32"/>
        <v>122.62</v>
      </c>
      <c r="P89" s="1">
        <f t="shared" si="32"/>
        <v>44</v>
      </c>
      <c r="Q89" s="1">
        <f t="shared" si="32"/>
        <v>453.29100000000005</v>
      </c>
      <c r="R89" s="1">
        <f t="shared" si="32"/>
        <v>242.54999999999998</v>
      </c>
      <c r="S89" s="1">
        <f>S88+S84+S74+S67+S64+S59+S52+S45+S33+S22+S19+S15+S12</f>
        <v>1125</v>
      </c>
      <c r="T89" s="5">
        <f>T88+T84+T74+T67+T64+T59+T52+T45+T33+T22+T19+T15+T12</f>
        <v>8599.110999999999</v>
      </c>
      <c r="U89" s="1">
        <f>U88+U84+U74+U67+U64+U59+U52+U45+U33+U22+U19+U15+U12</f>
        <v>3011.0499999999997</v>
      </c>
    </row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pans="1:2" ht="16.5">
      <c r="A159" s="26"/>
      <c r="B159" s="26"/>
    </row>
    <row r="160" spans="1:2" ht="16.5">
      <c r="A160" s="26"/>
      <c r="B160" s="26"/>
    </row>
    <row r="161" spans="1:2" ht="16.5">
      <c r="A161" s="26"/>
      <c r="B161" s="26"/>
    </row>
    <row r="162" spans="1:2" ht="16.5">
      <c r="A162" s="26"/>
      <c r="B162" s="26"/>
    </row>
    <row r="163" spans="1:2" ht="16.5">
      <c r="A163" s="26"/>
      <c r="B163" s="26"/>
    </row>
    <row r="164" spans="1:2" ht="16.5">
      <c r="A164" s="26"/>
      <c r="B164" s="26"/>
    </row>
    <row r="165" spans="1:2" ht="16.5">
      <c r="A165" s="26"/>
      <c r="B165" s="26"/>
    </row>
    <row r="166" spans="1:2" ht="16.5">
      <c r="A166" s="26"/>
      <c r="B166" s="26"/>
    </row>
    <row r="167" spans="1:2" ht="16.5">
      <c r="A167" s="26"/>
      <c r="B167" s="26"/>
    </row>
    <row r="168" spans="1:2" ht="16.5">
      <c r="A168" s="26"/>
      <c r="B168" s="26"/>
    </row>
    <row r="169" spans="1:2" ht="16.5">
      <c r="A169" s="26"/>
      <c r="B169" s="26"/>
    </row>
    <row r="170" spans="1:2" ht="16.5">
      <c r="A170" s="26"/>
      <c r="B170" s="26"/>
    </row>
    <row r="171" spans="1:2" ht="16.5">
      <c r="A171" s="26"/>
      <c r="B171" s="26"/>
    </row>
    <row r="172" spans="1:2" ht="16.5">
      <c r="A172" s="26"/>
      <c r="B172" s="26"/>
    </row>
    <row r="173" spans="1:2" ht="16.5">
      <c r="A173" s="26"/>
      <c r="B173" s="26"/>
    </row>
    <row r="174" spans="1:2" ht="16.5">
      <c r="A174" s="26"/>
      <c r="B174" s="26"/>
    </row>
    <row r="175" spans="1:2" ht="16.5">
      <c r="A175" s="26"/>
      <c r="B175" s="26"/>
    </row>
    <row r="176" spans="1:2" ht="16.5">
      <c r="A176" s="26"/>
      <c r="B176" s="26"/>
    </row>
    <row r="177" spans="1:2" ht="16.5">
      <c r="A177" s="26"/>
      <c r="B177" s="26"/>
    </row>
    <row r="178" spans="1:2" ht="16.5">
      <c r="A178" s="26"/>
      <c r="B178" s="26"/>
    </row>
    <row r="179" spans="1:2" ht="16.5">
      <c r="A179" s="26"/>
      <c r="B179" s="26"/>
    </row>
    <row r="180" spans="1:2" ht="16.5">
      <c r="A180" s="26"/>
      <c r="B180" s="26"/>
    </row>
    <row r="181" spans="1:2" ht="16.5">
      <c r="A181" s="26"/>
      <c r="B181" s="26"/>
    </row>
    <row r="182" spans="1:2" ht="16.5">
      <c r="A182" s="26"/>
      <c r="B182" s="26"/>
    </row>
    <row r="183" spans="1:2" ht="16.5">
      <c r="A183" s="26"/>
      <c r="B183" s="26"/>
    </row>
    <row r="184" spans="1:2" ht="16.5">
      <c r="A184" s="26"/>
      <c r="B184" s="26"/>
    </row>
    <row r="185" spans="1:2" ht="16.5">
      <c r="A185" s="26"/>
      <c r="B185" s="26"/>
    </row>
    <row r="186" spans="1:2" ht="16.5">
      <c r="A186" s="26"/>
      <c r="B186" s="26"/>
    </row>
    <row r="187" spans="1:2" ht="16.5">
      <c r="A187" s="26"/>
      <c r="B187" s="26"/>
    </row>
    <row r="188" spans="1:2" ht="16.5">
      <c r="A188" s="26"/>
      <c r="B188" s="26"/>
    </row>
    <row r="189" spans="1:2" ht="16.5">
      <c r="A189" s="26"/>
      <c r="B189" s="26"/>
    </row>
    <row r="190" spans="1:2" ht="16.5">
      <c r="A190" s="26"/>
      <c r="B190" s="26"/>
    </row>
    <row r="191" spans="1:2" ht="16.5">
      <c r="A191" s="26"/>
      <c r="B191" s="26"/>
    </row>
    <row r="192" spans="1:2" ht="16.5">
      <c r="A192" s="26"/>
      <c r="B192" s="26"/>
    </row>
    <row r="193" spans="1:2" ht="16.5">
      <c r="A193" s="26"/>
      <c r="B193" s="26"/>
    </row>
    <row r="194" spans="1:2" ht="16.5">
      <c r="A194" s="26"/>
      <c r="B194" s="26"/>
    </row>
    <row r="195" spans="1:2" ht="16.5">
      <c r="A195" s="26"/>
      <c r="B195" s="26"/>
    </row>
    <row r="196" spans="1:2" ht="16.5">
      <c r="A196" s="26"/>
      <c r="B196" s="26"/>
    </row>
    <row r="197" spans="1:2" ht="16.5">
      <c r="A197" s="26"/>
      <c r="B197" s="26"/>
    </row>
    <row r="198" spans="1:2" ht="16.5">
      <c r="A198" s="26"/>
      <c r="B198" s="26"/>
    </row>
    <row r="199" spans="1:2" ht="16.5">
      <c r="A199" s="26"/>
      <c r="B199" s="26"/>
    </row>
    <row r="200" spans="1:2" ht="16.5">
      <c r="A200" s="26"/>
      <c r="B200" s="26"/>
    </row>
    <row r="201" spans="1:2" ht="16.5">
      <c r="A201" s="26"/>
      <c r="B201" s="26"/>
    </row>
    <row r="202" spans="1:2" ht="16.5">
      <c r="A202" s="26"/>
      <c r="B202" s="26"/>
    </row>
    <row r="203" spans="1:2" ht="16.5">
      <c r="A203" s="26"/>
      <c r="B203" s="26"/>
    </row>
    <row r="204" spans="1:2" ht="16.5">
      <c r="A204" s="26"/>
      <c r="B204" s="26"/>
    </row>
    <row r="205" spans="1:2" ht="16.5">
      <c r="A205" s="26"/>
      <c r="B205" s="26"/>
    </row>
    <row r="206" spans="1:2" ht="16.5">
      <c r="A206" s="26"/>
      <c r="B206" s="26"/>
    </row>
    <row r="207" spans="1:2" ht="16.5">
      <c r="A207" s="26"/>
      <c r="B207" s="26"/>
    </row>
    <row r="208" spans="1:2" ht="16.5">
      <c r="A208" s="26"/>
      <c r="B208" s="26"/>
    </row>
    <row r="209" spans="1:2" ht="16.5">
      <c r="A209" s="26"/>
      <c r="B209" s="26"/>
    </row>
    <row r="210" spans="1:2" ht="16.5">
      <c r="A210" s="26"/>
      <c r="B210" s="26"/>
    </row>
    <row r="211" spans="1:2" ht="16.5">
      <c r="A211" s="26"/>
      <c r="B211" s="26"/>
    </row>
    <row r="212" spans="1:2" ht="16.5">
      <c r="A212" s="26"/>
      <c r="B212" s="26"/>
    </row>
    <row r="213" spans="1:2" ht="16.5">
      <c r="A213" s="26"/>
      <c r="B213" s="26"/>
    </row>
    <row r="214" spans="1:2" ht="16.5">
      <c r="A214" s="26"/>
      <c r="B214" s="26"/>
    </row>
  </sheetData>
  <sheetProtection password="A8D0" sheet="1" objects="1" scenarios="1"/>
  <mergeCells count="38">
    <mergeCell ref="S3:U3"/>
    <mergeCell ref="B6:B11"/>
    <mergeCell ref="B13:B14"/>
    <mergeCell ref="B16:B18"/>
    <mergeCell ref="A3:A4"/>
    <mergeCell ref="B3:B4"/>
    <mergeCell ref="C3:C4"/>
    <mergeCell ref="D3:F3"/>
    <mergeCell ref="J3:L3"/>
    <mergeCell ref="G3:I3"/>
    <mergeCell ref="A45:C45"/>
    <mergeCell ref="A52:C52"/>
    <mergeCell ref="A59:C59"/>
    <mergeCell ref="M3:O3"/>
    <mergeCell ref="P3:R3"/>
    <mergeCell ref="A84:C84"/>
    <mergeCell ref="A88:C88"/>
    <mergeCell ref="A89:C89"/>
    <mergeCell ref="B65:B66"/>
    <mergeCell ref="B68:B73"/>
    <mergeCell ref="B75:B80"/>
    <mergeCell ref="B85:B87"/>
    <mergeCell ref="A1:R1"/>
    <mergeCell ref="Q2:R2"/>
    <mergeCell ref="A64:C64"/>
    <mergeCell ref="A67:C67"/>
    <mergeCell ref="A74:C74"/>
    <mergeCell ref="A12:C12"/>
    <mergeCell ref="A15:C15"/>
    <mergeCell ref="A19:C19"/>
    <mergeCell ref="A22:C22"/>
    <mergeCell ref="A33:C33"/>
    <mergeCell ref="B20:B21"/>
    <mergeCell ref="B23:B29"/>
    <mergeCell ref="B34:B43"/>
    <mergeCell ref="B46:B49"/>
    <mergeCell ref="B53:B58"/>
    <mergeCell ref="B60:B63"/>
  </mergeCells>
  <printOptions/>
  <pageMargins left="0.19" right="0.17" top="0.32" bottom="0.28" header="0.17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1"/>
  <sheetViews>
    <sheetView zoomScalePageLayoutView="0" workbookViewId="0" topLeftCell="A1">
      <selection activeCell="D7" sqref="D7"/>
    </sheetView>
  </sheetViews>
  <sheetFormatPr defaultColWidth="9.140625" defaultRowHeight="15"/>
  <cols>
    <col min="1" max="3" width="8.8515625" style="27" customWidth="1"/>
    <col min="4" max="4" width="8.8515625" style="73" customWidth="1"/>
    <col min="5" max="6" width="8.8515625" style="27" customWidth="1"/>
    <col min="7" max="8" width="8.8515625" style="74" customWidth="1"/>
    <col min="9" max="16384" width="8.8515625" style="27" customWidth="1"/>
  </cols>
  <sheetData>
    <row r="1" spans="1:21" ht="26.25">
      <c r="A1" s="220" t="s">
        <v>111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220"/>
    </row>
    <row r="2" spans="1:21" s="33" customFormat="1" ht="15.75">
      <c r="A2" s="222"/>
      <c r="B2" s="222"/>
      <c r="C2" s="222"/>
      <c r="D2" s="28"/>
      <c r="E2" s="29"/>
      <c r="F2" s="30"/>
      <c r="G2" s="31"/>
      <c r="H2" s="31"/>
      <c r="I2" s="32"/>
      <c r="J2" s="32"/>
      <c r="K2" s="32"/>
      <c r="R2" s="34" t="s">
        <v>112</v>
      </c>
      <c r="S2" s="35"/>
      <c r="U2" s="34"/>
    </row>
    <row r="3" spans="1:21" ht="13.5" customHeight="1">
      <c r="A3" s="217" t="s">
        <v>113</v>
      </c>
      <c r="B3" s="217" t="s">
        <v>114</v>
      </c>
      <c r="C3" s="217" t="s">
        <v>115</v>
      </c>
      <c r="D3" s="217" t="s">
        <v>116</v>
      </c>
      <c r="E3" s="217" t="s">
        <v>117</v>
      </c>
      <c r="F3" s="217" t="s">
        <v>118</v>
      </c>
      <c r="G3" s="217" t="s">
        <v>119</v>
      </c>
      <c r="H3" s="217" t="s">
        <v>120</v>
      </c>
      <c r="I3" s="217" t="s">
        <v>121</v>
      </c>
      <c r="J3" s="217" t="s">
        <v>122</v>
      </c>
      <c r="K3" s="217" t="s">
        <v>123</v>
      </c>
      <c r="L3" s="217" t="s">
        <v>124</v>
      </c>
      <c r="M3" s="217"/>
      <c r="N3" s="217" t="s">
        <v>125</v>
      </c>
      <c r="O3" s="218" t="s">
        <v>126</v>
      </c>
      <c r="P3" s="219"/>
      <c r="Q3" s="219"/>
      <c r="R3" s="217" t="s">
        <v>127</v>
      </c>
      <c r="S3" s="217" t="s">
        <v>128</v>
      </c>
      <c r="T3" s="223" t="s">
        <v>129</v>
      </c>
      <c r="U3" s="217" t="s">
        <v>130</v>
      </c>
    </row>
    <row r="4" spans="1:21" ht="38.2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91" t="s">
        <v>131</v>
      </c>
      <c r="M4" s="91" t="s">
        <v>132</v>
      </c>
      <c r="N4" s="217"/>
      <c r="O4" s="91" t="s">
        <v>133</v>
      </c>
      <c r="P4" s="91" t="s">
        <v>134</v>
      </c>
      <c r="Q4" s="91" t="s">
        <v>102</v>
      </c>
      <c r="R4" s="217"/>
      <c r="S4" s="217"/>
      <c r="T4" s="224"/>
      <c r="U4" s="217"/>
    </row>
    <row r="5" spans="1:21" ht="12.75">
      <c r="A5" s="38">
        <v>1</v>
      </c>
      <c r="B5" s="38"/>
      <c r="C5" s="38"/>
      <c r="D5" s="38">
        <v>2</v>
      </c>
      <c r="E5" s="110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  <c r="N5" s="38">
        <v>12</v>
      </c>
      <c r="O5" s="38">
        <v>13</v>
      </c>
      <c r="P5" s="38">
        <v>14</v>
      </c>
      <c r="Q5" s="38">
        <v>15</v>
      </c>
      <c r="R5" s="38">
        <v>16</v>
      </c>
      <c r="S5" s="38">
        <v>17</v>
      </c>
      <c r="T5" s="79">
        <v>18</v>
      </c>
      <c r="U5" s="38">
        <v>19</v>
      </c>
    </row>
    <row r="6" spans="1:21" ht="99.75">
      <c r="A6" s="77">
        <v>1</v>
      </c>
      <c r="B6" s="79" t="s">
        <v>135</v>
      </c>
      <c r="C6" s="79" t="s">
        <v>10</v>
      </c>
      <c r="D6" s="36" t="s">
        <v>136</v>
      </c>
      <c r="E6" s="84" t="s">
        <v>137</v>
      </c>
      <c r="F6" s="79" t="s">
        <v>138</v>
      </c>
      <c r="G6" s="44" t="s">
        <v>139</v>
      </c>
      <c r="H6" s="80" t="s">
        <v>140</v>
      </c>
      <c r="I6" s="90" t="s">
        <v>141</v>
      </c>
      <c r="J6" s="86">
        <v>8</v>
      </c>
      <c r="K6" s="86">
        <v>159</v>
      </c>
      <c r="L6" s="58"/>
      <c r="M6" s="58"/>
      <c r="N6" s="111"/>
      <c r="O6" s="86">
        <v>159.29</v>
      </c>
      <c r="P6" s="77"/>
      <c r="Q6" s="77"/>
      <c r="R6" s="86">
        <v>149.6</v>
      </c>
      <c r="S6" s="86">
        <v>8</v>
      </c>
      <c r="T6" s="85" t="s">
        <v>142</v>
      </c>
      <c r="U6" s="83" t="s">
        <v>143</v>
      </c>
    </row>
    <row r="7" spans="1:21" ht="99.75">
      <c r="A7" s="77">
        <v>1</v>
      </c>
      <c r="B7" s="79" t="s">
        <v>135</v>
      </c>
      <c r="C7" s="79" t="s">
        <v>10</v>
      </c>
      <c r="D7" s="36" t="s">
        <v>144</v>
      </c>
      <c r="E7" s="77" t="s">
        <v>145</v>
      </c>
      <c r="F7" s="79" t="s">
        <v>138</v>
      </c>
      <c r="G7" s="44" t="s">
        <v>146</v>
      </c>
      <c r="H7" s="80" t="s">
        <v>147</v>
      </c>
      <c r="I7" s="149" t="s">
        <v>148</v>
      </c>
      <c r="J7" s="86">
        <v>8</v>
      </c>
      <c r="K7" s="86">
        <v>179.45</v>
      </c>
      <c r="L7" s="79" t="s">
        <v>149</v>
      </c>
      <c r="M7" s="79" t="s">
        <v>150</v>
      </c>
      <c r="N7" s="111" t="s">
        <v>151</v>
      </c>
      <c r="O7" s="86">
        <v>168.38</v>
      </c>
      <c r="P7" s="77"/>
      <c r="Q7" s="77"/>
      <c r="R7" s="86">
        <v>166.71</v>
      </c>
      <c r="S7" s="86">
        <v>8</v>
      </c>
      <c r="T7" s="85" t="s">
        <v>142</v>
      </c>
      <c r="U7" s="83" t="s">
        <v>143</v>
      </c>
    </row>
    <row r="8" spans="1:21" ht="128.25">
      <c r="A8" s="77">
        <v>2</v>
      </c>
      <c r="B8" s="79" t="s">
        <v>135</v>
      </c>
      <c r="C8" s="79" t="s">
        <v>10</v>
      </c>
      <c r="D8" s="36" t="s">
        <v>152</v>
      </c>
      <c r="E8" s="181" t="s">
        <v>153</v>
      </c>
      <c r="F8" s="79" t="s">
        <v>138</v>
      </c>
      <c r="G8" s="44" t="s">
        <v>146</v>
      </c>
      <c r="H8" s="80" t="s">
        <v>147</v>
      </c>
      <c r="I8" s="187" t="s">
        <v>154</v>
      </c>
      <c r="J8" s="86">
        <v>4.75</v>
      </c>
      <c r="K8" s="194">
        <v>141.78</v>
      </c>
      <c r="L8" s="197" t="s">
        <v>149</v>
      </c>
      <c r="M8" s="197" t="s">
        <v>150</v>
      </c>
      <c r="N8" s="197" t="s">
        <v>155</v>
      </c>
      <c r="O8" s="194">
        <v>139.4</v>
      </c>
      <c r="P8" s="77"/>
      <c r="Q8" s="77"/>
      <c r="R8" s="194">
        <v>123.97</v>
      </c>
      <c r="S8" s="86">
        <v>4.75</v>
      </c>
      <c r="T8" s="85" t="s">
        <v>142</v>
      </c>
      <c r="U8" s="83" t="s">
        <v>143</v>
      </c>
    </row>
    <row r="9" spans="1:21" ht="99.75">
      <c r="A9" s="77">
        <v>3</v>
      </c>
      <c r="B9" s="79" t="s">
        <v>135</v>
      </c>
      <c r="C9" s="79" t="s">
        <v>10</v>
      </c>
      <c r="D9" s="36" t="s">
        <v>156</v>
      </c>
      <c r="E9" s="181"/>
      <c r="F9" s="79" t="s">
        <v>138</v>
      </c>
      <c r="G9" s="44" t="s">
        <v>146</v>
      </c>
      <c r="H9" s="80" t="s">
        <v>147</v>
      </c>
      <c r="I9" s="187"/>
      <c r="J9" s="86">
        <v>2</v>
      </c>
      <c r="K9" s="194"/>
      <c r="L9" s="197"/>
      <c r="M9" s="197"/>
      <c r="N9" s="197"/>
      <c r="O9" s="194"/>
      <c r="P9" s="77"/>
      <c r="Q9" s="77"/>
      <c r="R9" s="194"/>
      <c r="S9" s="86">
        <v>2</v>
      </c>
      <c r="T9" s="85" t="s">
        <v>142</v>
      </c>
      <c r="U9" s="83" t="s">
        <v>143</v>
      </c>
    </row>
    <row r="10" spans="1:21" ht="99.75">
      <c r="A10" s="77">
        <v>1</v>
      </c>
      <c r="B10" s="79" t="s">
        <v>157</v>
      </c>
      <c r="C10" s="79" t="s">
        <v>10</v>
      </c>
      <c r="D10" s="46" t="s">
        <v>158</v>
      </c>
      <c r="E10" s="84" t="s">
        <v>137</v>
      </c>
      <c r="F10" s="79" t="s">
        <v>159</v>
      </c>
      <c r="G10" s="47" t="s">
        <v>160</v>
      </c>
      <c r="H10" s="80" t="s">
        <v>147</v>
      </c>
      <c r="I10" s="47"/>
      <c r="J10" s="78">
        <v>4</v>
      </c>
      <c r="K10" s="78">
        <v>131.28</v>
      </c>
      <c r="L10" s="48"/>
      <c r="M10" s="48"/>
      <c r="N10" s="87" t="s">
        <v>161</v>
      </c>
      <c r="O10" s="78"/>
      <c r="P10" s="78"/>
      <c r="Q10" s="78"/>
      <c r="R10" s="78">
        <v>120.89</v>
      </c>
      <c r="S10" s="78">
        <v>4</v>
      </c>
      <c r="T10" s="49" t="s">
        <v>142</v>
      </c>
      <c r="U10" s="83" t="s">
        <v>143</v>
      </c>
    </row>
    <row r="11" spans="1:21" ht="99.75">
      <c r="A11" s="77">
        <v>2</v>
      </c>
      <c r="B11" s="79" t="s">
        <v>157</v>
      </c>
      <c r="C11" s="79" t="s">
        <v>10</v>
      </c>
      <c r="D11" s="46" t="s">
        <v>162</v>
      </c>
      <c r="E11" s="84" t="s">
        <v>145</v>
      </c>
      <c r="F11" s="79" t="s">
        <v>159</v>
      </c>
      <c r="G11" s="47" t="s">
        <v>160</v>
      </c>
      <c r="H11" s="80" t="s">
        <v>147</v>
      </c>
      <c r="I11" s="47"/>
      <c r="J11" s="78">
        <v>5</v>
      </c>
      <c r="K11" s="78">
        <v>138.72</v>
      </c>
      <c r="L11" s="48"/>
      <c r="M11" s="48"/>
      <c r="N11" s="87" t="s">
        <v>163</v>
      </c>
      <c r="O11" s="78"/>
      <c r="P11" s="78"/>
      <c r="Q11" s="78"/>
      <c r="R11" s="78">
        <v>139.62</v>
      </c>
      <c r="S11" s="78">
        <v>5</v>
      </c>
      <c r="T11" s="49" t="s">
        <v>142</v>
      </c>
      <c r="U11" s="83" t="s">
        <v>143</v>
      </c>
    </row>
    <row r="12" spans="1:21" ht="85.5">
      <c r="A12" s="77">
        <v>1</v>
      </c>
      <c r="B12" s="79" t="s">
        <v>157</v>
      </c>
      <c r="C12" s="79" t="s">
        <v>10</v>
      </c>
      <c r="D12" s="46" t="s">
        <v>164</v>
      </c>
      <c r="E12" s="84" t="s">
        <v>165</v>
      </c>
      <c r="F12" s="79" t="s">
        <v>159</v>
      </c>
      <c r="G12" s="47" t="s">
        <v>166</v>
      </c>
      <c r="H12" s="47" t="s">
        <v>166</v>
      </c>
      <c r="I12" s="47"/>
      <c r="J12" s="78">
        <v>4</v>
      </c>
      <c r="K12" s="78">
        <v>131.28</v>
      </c>
      <c r="L12" s="48"/>
      <c r="M12" s="48"/>
      <c r="N12" s="87" t="s">
        <v>167</v>
      </c>
      <c r="O12" s="78"/>
      <c r="P12" s="78"/>
      <c r="Q12" s="78"/>
      <c r="R12" s="78">
        <v>115.04</v>
      </c>
      <c r="S12" s="78">
        <v>4</v>
      </c>
      <c r="T12" s="49" t="s">
        <v>142</v>
      </c>
      <c r="U12" s="83" t="s">
        <v>143</v>
      </c>
    </row>
    <row r="13" spans="1:21" ht="85.5">
      <c r="A13" s="77">
        <v>2</v>
      </c>
      <c r="B13" s="79" t="s">
        <v>157</v>
      </c>
      <c r="C13" s="79" t="s">
        <v>10</v>
      </c>
      <c r="D13" s="46" t="s">
        <v>168</v>
      </c>
      <c r="E13" s="84" t="s">
        <v>169</v>
      </c>
      <c r="F13" s="79" t="s">
        <v>159</v>
      </c>
      <c r="G13" s="47" t="s">
        <v>166</v>
      </c>
      <c r="H13" s="47" t="s">
        <v>166</v>
      </c>
      <c r="I13" s="47"/>
      <c r="J13" s="78">
        <v>5</v>
      </c>
      <c r="K13" s="78">
        <v>138.72</v>
      </c>
      <c r="L13" s="48"/>
      <c r="M13" s="48"/>
      <c r="N13" s="87" t="s">
        <v>170</v>
      </c>
      <c r="O13" s="78"/>
      <c r="P13" s="78"/>
      <c r="Q13" s="78"/>
      <c r="R13" s="78">
        <v>132.65</v>
      </c>
      <c r="S13" s="78">
        <v>5</v>
      </c>
      <c r="T13" s="49" t="s">
        <v>142</v>
      </c>
      <c r="U13" s="83" t="s">
        <v>143</v>
      </c>
    </row>
    <row r="14" spans="1:21" ht="99.75">
      <c r="A14" s="77">
        <v>3</v>
      </c>
      <c r="B14" s="79" t="s">
        <v>157</v>
      </c>
      <c r="C14" s="79" t="s">
        <v>10</v>
      </c>
      <c r="D14" s="46" t="s">
        <v>171</v>
      </c>
      <c r="E14" s="84" t="s">
        <v>172</v>
      </c>
      <c r="F14" s="79" t="s">
        <v>159</v>
      </c>
      <c r="G14" s="47" t="s">
        <v>166</v>
      </c>
      <c r="H14" s="47" t="s">
        <v>166</v>
      </c>
      <c r="I14" s="47"/>
      <c r="J14" s="78">
        <v>5</v>
      </c>
      <c r="K14" s="78">
        <v>150</v>
      </c>
      <c r="L14" s="48"/>
      <c r="M14" s="48"/>
      <c r="N14" s="87" t="s">
        <v>170</v>
      </c>
      <c r="O14" s="78"/>
      <c r="P14" s="78"/>
      <c r="Q14" s="78"/>
      <c r="R14" s="78">
        <v>128.87</v>
      </c>
      <c r="S14" s="78">
        <v>5</v>
      </c>
      <c r="T14" s="49" t="s">
        <v>142</v>
      </c>
      <c r="U14" s="83" t="s">
        <v>143</v>
      </c>
    </row>
    <row r="15" spans="1:21" ht="114">
      <c r="A15" s="77">
        <v>3</v>
      </c>
      <c r="B15" s="79" t="s">
        <v>157</v>
      </c>
      <c r="C15" s="79" t="s">
        <v>10</v>
      </c>
      <c r="D15" s="46" t="s">
        <v>173</v>
      </c>
      <c r="E15" s="84" t="s">
        <v>174</v>
      </c>
      <c r="F15" s="79" t="s">
        <v>175</v>
      </c>
      <c r="G15" s="47" t="s">
        <v>160</v>
      </c>
      <c r="H15" s="80" t="s">
        <v>147</v>
      </c>
      <c r="I15" s="47"/>
      <c r="J15" s="78" t="s">
        <v>141</v>
      </c>
      <c r="K15" s="50">
        <v>100</v>
      </c>
      <c r="L15" s="112"/>
      <c r="M15" s="112"/>
      <c r="N15" s="87" t="s">
        <v>170</v>
      </c>
      <c r="O15" s="50"/>
      <c r="P15" s="50"/>
      <c r="Q15" s="50"/>
      <c r="R15" s="50">
        <v>78.8</v>
      </c>
      <c r="S15" s="78" t="s">
        <v>141</v>
      </c>
      <c r="T15" s="49" t="s">
        <v>142</v>
      </c>
      <c r="U15" s="83" t="s">
        <v>143</v>
      </c>
    </row>
    <row r="16" spans="1:21" ht="120">
      <c r="A16" s="77">
        <v>4</v>
      </c>
      <c r="B16" s="79" t="s">
        <v>176</v>
      </c>
      <c r="C16" s="79" t="s">
        <v>10</v>
      </c>
      <c r="D16" s="37" t="s">
        <v>177</v>
      </c>
      <c r="E16" s="84" t="s">
        <v>153</v>
      </c>
      <c r="F16" s="79" t="s">
        <v>159</v>
      </c>
      <c r="G16" s="79" t="s">
        <v>146</v>
      </c>
      <c r="H16" s="80" t="s">
        <v>147</v>
      </c>
      <c r="I16" s="216" t="s">
        <v>178</v>
      </c>
      <c r="J16" s="51">
        <v>4</v>
      </c>
      <c r="K16" s="207">
        <v>240</v>
      </c>
      <c r="L16" s="187" t="s">
        <v>179</v>
      </c>
      <c r="M16" s="187" t="s">
        <v>180</v>
      </c>
      <c r="N16" s="80" t="s">
        <v>181</v>
      </c>
      <c r="O16" s="207">
        <v>68.22</v>
      </c>
      <c r="P16" s="207"/>
      <c r="Q16" s="207">
        <f>SUM(O16:P16)</f>
        <v>68.22</v>
      </c>
      <c r="R16" s="207">
        <f>118.17+20.85+0.47+0.47+91</f>
        <v>230.96</v>
      </c>
      <c r="S16" s="51">
        <v>4</v>
      </c>
      <c r="T16" s="83" t="s">
        <v>142</v>
      </c>
      <c r="U16" s="83" t="s">
        <v>143</v>
      </c>
    </row>
    <row r="17" spans="1:21" ht="120">
      <c r="A17" s="77">
        <v>5</v>
      </c>
      <c r="B17" s="79" t="s">
        <v>176</v>
      </c>
      <c r="C17" s="79" t="s">
        <v>10</v>
      </c>
      <c r="D17" s="37" t="s">
        <v>182</v>
      </c>
      <c r="E17" s="84" t="s">
        <v>183</v>
      </c>
      <c r="F17" s="79" t="s">
        <v>159</v>
      </c>
      <c r="G17" s="79" t="s">
        <v>146</v>
      </c>
      <c r="H17" s="80" t="s">
        <v>147</v>
      </c>
      <c r="I17" s="216"/>
      <c r="J17" s="51">
        <v>4</v>
      </c>
      <c r="K17" s="207"/>
      <c r="L17" s="187"/>
      <c r="M17" s="187"/>
      <c r="N17" s="80" t="s">
        <v>184</v>
      </c>
      <c r="O17" s="207"/>
      <c r="P17" s="207"/>
      <c r="Q17" s="207"/>
      <c r="R17" s="207"/>
      <c r="S17" s="51">
        <v>4</v>
      </c>
      <c r="T17" s="83" t="s">
        <v>142</v>
      </c>
      <c r="U17" s="83" t="s">
        <v>143</v>
      </c>
    </row>
    <row r="18" spans="1:21" ht="114">
      <c r="A18" s="77">
        <v>4</v>
      </c>
      <c r="B18" s="79" t="s">
        <v>185</v>
      </c>
      <c r="C18" s="79" t="s">
        <v>10</v>
      </c>
      <c r="D18" s="36" t="s">
        <v>186</v>
      </c>
      <c r="E18" s="84" t="s">
        <v>137</v>
      </c>
      <c r="F18" s="79" t="s">
        <v>135</v>
      </c>
      <c r="G18" s="79" t="s">
        <v>160</v>
      </c>
      <c r="H18" s="80" t="s">
        <v>147</v>
      </c>
      <c r="I18" s="79" t="s">
        <v>187</v>
      </c>
      <c r="J18" s="51">
        <v>7</v>
      </c>
      <c r="K18" s="51">
        <v>80.63</v>
      </c>
      <c r="L18" s="80" t="s">
        <v>188</v>
      </c>
      <c r="M18" s="80" t="s">
        <v>189</v>
      </c>
      <c r="N18" s="80" t="s">
        <v>190</v>
      </c>
      <c r="O18" s="51">
        <v>109.56</v>
      </c>
      <c r="P18" s="51"/>
      <c r="Q18" s="51">
        <f aca="true" t="shared" si="0" ref="Q18:Q27">SUM(O18:P18)</f>
        <v>109.56</v>
      </c>
      <c r="R18" s="51">
        <f>96.59+0.49</f>
        <v>97.08</v>
      </c>
      <c r="S18" s="51">
        <v>7</v>
      </c>
      <c r="T18" s="83" t="s">
        <v>142</v>
      </c>
      <c r="U18" s="83" t="s">
        <v>143</v>
      </c>
    </row>
    <row r="19" spans="1:21" ht="85.5">
      <c r="A19" s="77">
        <v>6</v>
      </c>
      <c r="B19" s="79" t="s">
        <v>185</v>
      </c>
      <c r="C19" s="79" t="s">
        <v>10</v>
      </c>
      <c r="D19" s="36" t="s">
        <v>191</v>
      </c>
      <c r="E19" s="84" t="s">
        <v>145</v>
      </c>
      <c r="F19" s="79" t="s">
        <v>135</v>
      </c>
      <c r="G19" s="79" t="s">
        <v>146</v>
      </c>
      <c r="H19" s="80" t="s">
        <v>147</v>
      </c>
      <c r="I19" s="183" t="s">
        <v>192</v>
      </c>
      <c r="J19" s="51">
        <v>16</v>
      </c>
      <c r="K19" s="51">
        <v>241.76</v>
      </c>
      <c r="L19" s="187" t="s">
        <v>193</v>
      </c>
      <c r="M19" s="187" t="s">
        <v>194</v>
      </c>
      <c r="N19" s="80" t="s">
        <v>195</v>
      </c>
      <c r="O19" s="51">
        <v>310.08</v>
      </c>
      <c r="P19" s="51"/>
      <c r="Q19" s="51">
        <f t="shared" si="0"/>
        <v>310.08</v>
      </c>
      <c r="R19" s="51">
        <v>622.72</v>
      </c>
      <c r="S19" s="51">
        <v>16</v>
      </c>
      <c r="T19" s="83" t="s">
        <v>142</v>
      </c>
      <c r="U19" s="83" t="s">
        <v>143</v>
      </c>
    </row>
    <row r="20" spans="1:21" ht="85.5">
      <c r="A20" s="77">
        <v>7</v>
      </c>
      <c r="B20" s="79" t="s">
        <v>185</v>
      </c>
      <c r="C20" s="79" t="s">
        <v>10</v>
      </c>
      <c r="D20" s="36" t="s">
        <v>196</v>
      </c>
      <c r="E20" s="84" t="s">
        <v>153</v>
      </c>
      <c r="F20" s="79" t="s">
        <v>135</v>
      </c>
      <c r="G20" s="79" t="s">
        <v>146</v>
      </c>
      <c r="H20" s="80" t="s">
        <v>147</v>
      </c>
      <c r="I20" s="183"/>
      <c r="J20" s="51">
        <v>16.66</v>
      </c>
      <c r="K20" s="51">
        <v>215.35</v>
      </c>
      <c r="L20" s="187"/>
      <c r="M20" s="187"/>
      <c r="N20" s="80" t="s">
        <v>195</v>
      </c>
      <c r="O20" s="51">
        <v>284.12</v>
      </c>
      <c r="P20" s="51">
        <v>42.85</v>
      </c>
      <c r="Q20" s="51">
        <f t="shared" si="0"/>
        <v>326.97</v>
      </c>
      <c r="R20" s="51">
        <v>1.83</v>
      </c>
      <c r="S20" s="51">
        <v>16.66</v>
      </c>
      <c r="T20" s="83" t="s">
        <v>142</v>
      </c>
      <c r="U20" s="83" t="s">
        <v>143</v>
      </c>
    </row>
    <row r="21" spans="1:21" ht="99.75">
      <c r="A21" s="77">
        <v>2</v>
      </c>
      <c r="B21" s="79" t="s">
        <v>185</v>
      </c>
      <c r="C21" s="79" t="s">
        <v>10</v>
      </c>
      <c r="D21" s="36" t="s">
        <v>197</v>
      </c>
      <c r="E21" s="84" t="s">
        <v>183</v>
      </c>
      <c r="F21" s="79" t="s">
        <v>135</v>
      </c>
      <c r="G21" s="79" t="s">
        <v>139</v>
      </c>
      <c r="H21" s="80" t="s">
        <v>139</v>
      </c>
      <c r="I21" s="79" t="s">
        <v>198</v>
      </c>
      <c r="J21" s="51">
        <v>4.7</v>
      </c>
      <c r="K21" s="51">
        <v>57.35</v>
      </c>
      <c r="L21" s="80" t="s">
        <v>199</v>
      </c>
      <c r="M21" s="80" t="s">
        <v>200</v>
      </c>
      <c r="N21" s="80" t="s">
        <v>201</v>
      </c>
      <c r="O21" s="51">
        <v>69.15</v>
      </c>
      <c r="P21" s="51">
        <v>50.55</v>
      </c>
      <c r="Q21" s="51">
        <f t="shared" si="0"/>
        <v>119.7</v>
      </c>
      <c r="R21" s="51">
        <v>116.32</v>
      </c>
      <c r="S21" s="51">
        <v>4.7</v>
      </c>
      <c r="T21" s="83" t="s">
        <v>142</v>
      </c>
      <c r="U21" s="83" t="s">
        <v>143</v>
      </c>
    </row>
    <row r="22" spans="1:21" ht="120">
      <c r="A22" s="77">
        <v>4</v>
      </c>
      <c r="B22" s="79" t="s">
        <v>202</v>
      </c>
      <c r="C22" s="79" t="s">
        <v>10</v>
      </c>
      <c r="D22" s="37" t="s">
        <v>203</v>
      </c>
      <c r="E22" s="84" t="s">
        <v>137</v>
      </c>
      <c r="F22" s="79" t="s">
        <v>135</v>
      </c>
      <c r="G22" s="79" t="s">
        <v>166</v>
      </c>
      <c r="H22" s="79" t="s">
        <v>166</v>
      </c>
      <c r="I22" s="79" t="s">
        <v>204</v>
      </c>
      <c r="J22" s="80">
        <v>11.1</v>
      </c>
      <c r="K22" s="80">
        <v>213.42</v>
      </c>
      <c r="L22" s="80" t="s">
        <v>205</v>
      </c>
      <c r="M22" s="80" t="s">
        <v>206</v>
      </c>
      <c r="N22" s="80" t="s">
        <v>207</v>
      </c>
      <c r="O22" s="80">
        <v>191.5</v>
      </c>
      <c r="P22" s="80">
        <v>14.44</v>
      </c>
      <c r="Q22" s="80">
        <f t="shared" si="0"/>
        <v>205.94</v>
      </c>
      <c r="R22" s="80">
        <f>207.88+19.89</f>
        <v>227.76999999999998</v>
      </c>
      <c r="S22" s="80">
        <v>11.1</v>
      </c>
      <c r="T22" s="83" t="s">
        <v>142</v>
      </c>
      <c r="U22" s="85" t="s">
        <v>143</v>
      </c>
    </row>
    <row r="23" spans="1:21" ht="150">
      <c r="A23" s="77">
        <v>5</v>
      </c>
      <c r="B23" s="79" t="s">
        <v>202</v>
      </c>
      <c r="C23" s="79" t="s">
        <v>10</v>
      </c>
      <c r="D23" s="37" t="s">
        <v>208</v>
      </c>
      <c r="E23" s="204" t="s">
        <v>153</v>
      </c>
      <c r="F23" s="79" t="s">
        <v>135</v>
      </c>
      <c r="G23" s="79" t="s">
        <v>166</v>
      </c>
      <c r="H23" s="79" t="s">
        <v>166</v>
      </c>
      <c r="I23" s="79" t="s">
        <v>204</v>
      </c>
      <c r="J23" s="80">
        <v>6.22</v>
      </c>
      <c r="K23" s="80">
        <v>66.8</v>
      </c>
      <c r="L23" s="187" t="s">
        <v>209</v>
      </c>
      <c r="M23" s="187" t="s">
        <v>210</v>
      </c>
      <c r="N23" s="80" t="s">
        <v>195</v>
      </c>
      <c r="O23" s="80">
        <v>66.06</v>
      </c>
      <c r="P23" s="80"/>
      <c r="Q23" s="80">
        <f t="shared" si="0"/>
        <v>66.06</v>
      </c>
      <c r="R23" s="80">
        <v>84.52</v>
      </c>
      <c r="S23" s="80">
        <v>6.22</v>
      </c>
      <c r="T23" s="85" t="s">
        <v>142</v>
      </c>
      <c r="U23" s="85" t="s">
        <v>143</v>
      </c>
    </row>
    <row r="24" spans="1:21" ht="150">
      <c r="A24" s="77">
        <v>6</v>
      </c>
      <c r="B24" s="79" t="s">
        <v>202</v>
      </c>
      <c r="C24" s="79" t="s">
        <v>10</v>
      </c>
      <c r="D24" s="37" t="s">
        <v>211</v>
      </c>
      <c r="E24" s="204"/>
      <c r="F24" s="79" t="s">
        <v>135</v>
      </c>
      <c r="G24" s="79" t="s">
        <v>166</v>
      </c>
      <c r="H24" s="79" t="s">
        <v>166</v>
      </c>
      <c r="I24" s="79" t="s">
        <v>204</v>
      </c>
      <c r="J24" s="80">
        <v>5.3</v>
      </c>
      <c r="K24" s="80">
        <v>54</v>
      </c>
      <c r="L24" s="187"/>
      <c r="M24" s="187"/>
      <c r="N24" s="80" t="s">
        <v>195</v>
      </c>
      <c r="O24" s="80">
        <v>53.41</v>
      </c>
      <c r="P24" s="80">
        <v>30.61</v>
      </c>
      <c r="Q24" s="80">
        <f t="shared" si="0"/>
        <v>84.02</v>
      </c>
      <c r="R24" s="80">
        <v>64.39</v>
      </c>
      <c r="S24" s="80">
        <v>5.3</v>
      </c>
      <c r="T24" s="85" t="s">
        <v>142</v>
      </c>
      <c r="U24" s="85" t="s">
        <v>143</v>
      </c>
    </row>
    <row r="25" spans="1:21" ht="90">
      <c r="A25" s="77">
        <v>3</v>
      </c>
      <c r="B25" s="79" t="s">
        <v>202</v>
      </c>
      <c r="C25" s="79" t="s">
        <v>10</v>
      </c>
      <c r="D25" s="37" t="s">
        <v>212</v>
      </c>
      <c r="E25" s="84" t="s">
        <v>183</v>
      </c>
      <c r="F25" s="79" t="s">
        <v>135</v>
      </c>
      <c r="G25" s="79" t="s">
        <v>139</v>
      </c>
      <c r="H25" s="80" t="s">
        <v>139</v>
      </c>
      <c r="I25" s="79" t="s">
        <v>213</v>
      </c>
      <c r="J25" s="80">
        <v>14.86</v>
      </c>
      <c r="K25" s="80">
        <v>360.39</v>
      </c>
      <c r="L25" s="80" t="s">
        <v>214</v>
      </c>
      <c r="M25" s="80" t="s">
        <v>215</v>
      </c>
      <c r="N25" s="80" t="s">
        <v>216</v>
      </c>
      <c r="O25" s="80">
        <v>353.06</v>
      </c>
      <c r="P25" s="80"/>
      <c r="Q25" s="80">
        <f t="shared" si="0"/>
        <v>353.06</v>
      </c>
      <c r="R25" s="80">
        <v>299.3</v>
      </c>
      <c r="S25" s="80">
        <v>14.86</v>
      </c>
      <c r="T25" s="85" t="s">
        <v>142</v>
      </c>
      <c r="U25" s="85" t="s">
        <v>143</v>
      </c>
    </row>
    <row r="26" spans="1:21" ht="105">
      <c r="A26" s="77">
        <v>8</v>
      </c>
      <c r="B26" s="79" t="s">
        <v>202</v>
      </c>
      <c r="C26" s="79" t="s">
        <v>10</v>
      </c>
      <c r="D26" s="37" t="s">
        <v>217</v>
      </c>
      <c r="E26" s="84" t="s">
        <v>165</v>
      </c>
      <c r="F26" s="79" t="s">
        <v>135</v>
      </c>
      <c r="G26" s="79" t="s">
        <v>146</v>
      </c>
      <c r="H26" s="80" t="s">
        <v>147</v>
      </c>
      <c r="I26" s="79" t="s">
        <v>198</v>
      </c>
      <c r="J26" s="80">
        <v>10.15</v>
      </c>
      <c r="K26" s="80">
        <v>195.97</v>
      </c>
      <c r="L26" s="80" t="s">
        <v>218</v>
      </c>
      <c r="M26" s="80" t="s">
        <v>219</v>
      </c>
      <c r="N26" s="80" t="s">
        <v>220</v>
      </c>
      <c r="O26" s="80">
        <v>186.23</v>
      </c>
      <c r="P26" s="80">
        <v>48.05</v>
      </c>
      <c r="Q26" s="80">
        <f t="shared" si="0"/>
        <v>234.27999999999997</v>
      </c>
      <c r="R26" s="80">
        <f>198.41+21.31</f>
        <v>219.72</v>
      </c>
      <c r="S26" s="80">
        <v>10.15</v>
      </c>
      <c r="T26" s="85" t="s">
        <v>142</v>
      </c>
      <c r="U26" s="85" t="s">
        <v>143</v>
      </c>
    </row>
    <row r="27" spans="1:21" ht="85.5">
      <c r="A27" s="77">
        <v>5</v>
      </c>
      <c r="B27" s="79" t="s">
        <v>221</v>
      </c>
      <c r="C27" s="79" t="s">
        <v>10</v>
      </c>
      <c r="D27" s="36" t="s">
        <v>222</v>
      </c>
      <c r="E27" s="51" t="s">
        <v>137</v>
      </c>
      <c r="F27" s="79" t="s">
        <v>135</v>
      </c>
      <c r="G27" s="52" t="s">
        <v>160</v>
      </c>
      <c r="H27" s="80" t="s">
        <v>140</v>
      </c>
      <c r="I27" s="52" t="s">
        <v>223</v>
      </c>
      <c r="J27" s="80">
        <v>18.03</v>
      </c>
      <c r="K27" s="80">
        <v>377.4</v>
      </c>
      <c r="L27" s="80" t="s">
        <v>224</v>
      </c>
      <c r="M27" s="80" t="s">
        <v>225</v>
      </c>
      <c r="N27" s="80" t="s">
        <v>216</v>
      </c>
      <c r="O27" s="80">
        <v>428.5</v>
      </c>
      <c r="P27" s="80">
        <v>42.53</v>
      </c>
      <c r="Q27" s="80">
        <f t="shared" si="0"/>
        <v>471.03</v>
      </c>
      <c r="R27" s="80">
        <v>470.98</v>
      </c>
      <c r="S27" s="80">
        <v>18.03</v>
      </c>
      <c r="T27" s="83" t="s">
        <v>142</v>
      </c>
      <c r="U27" s="85" t="s">
        <v>143</v>
      </c>
    </row>
    <row r="28" spans="1:21" ht="71.25">
      <c r="A28" s="77">
        <v>9</v>
      </c>
      <c r="B28" s="79" t="s">
        <v>221</v>
      </c>
      <c r="C28" s="79" t="s">
        <v>10</v>
      </c>
      <c r="D28" s="36" t="s">
        <v>226</v>
      </c>
      <c r="E28" s="51" t="s">
        <v>145</v>
      </c>
      <c r="F28" s="79" t="s">
        <v>135</v>
      </c>
      <c r="G28" s="52" t="s">
        <v>146</v>
      </c>
      <c r="H28" s="80" t="s">
        <v>147</v>
      </c>
      <c r="I28" s="52" t="s">
        <v>227</v>
      </c>
      <c r="J28" s="80">
        <v>7.79</v>
      </c>
      <c r="K28" s="80">
        <v>158.03</v>
      </c>
      <c r="L28" s="80" t="s">
        <v>228</v>
      </c>
      <c r="M28" s="80" t="s">
        <v>229</v>
      </c>
      <c r="N28" s="80" t="s">
        <v>230</v>
      </c>
      <c r="O28" s="80">
        <v>152.98</v>
      </c>
      <c r="P28" s="80"/>
      <c r="Q28" s="80">
        <f aca="true" t="shared" si="1" ref="Q28:Q33">SUM(O28:P28)</f>
        <v>152.98</v>
      </c>
      <c r="R28" s="80">
        <f>82.86+69.75</f>
        <v>152.61</v>
      </c>
      <c r="S28" s="80">
        <v>7.79</v>
      </c>
      <c r="T28" s="83" t="s">
        <v>142</v>
      </c>
      <c r="U28" s="85" t="s">
        <v>143</v>
      </c>
    </row>
    <row r="29" spans="1:21" ht="85.5">
      <c r="A29" s="77">
        <v>7</v>
      </c>
      <c r="B29" s="79" t="s">
        <v>221</v>
      </c>
      <c r="C29" s="79" t="s">
        <v>10</v>
      </c>
      <c r="D29" s="36" t="s">
        <v>231</v>
      </c>
      <c r="E29" s="51" t="s">
        <v>153</v>
      </c>
      <c r="F29" s="79" t="s">
        <v>135</v>
      </c>
      <c r="G29" s="52" t="s">
        <v>166</v>
      </c>
      <c r="H29" s="52" t="s">
        <v>166</v>
      </c>
      <c r="I29" s="52" t="s">
        <v>232</v>
      </c>
      <c r="J29" s="80">
        <v>22</v>
      </c>
      <c r="K29" s="80">
        <v>453.64</v>
      </c>
      <c r="L29" s="80" t="s">
        <v>233</v>
      </c>
      <c r="M29" s="80" t="s">
        <v>234</v>
      </c>
      <c r="N29" s="80" t="s">
        <v>216</v>
      </c>
      <c r="O29" s="80">
        <v>563.11</v>
      </c>
      <c r="P29" s="80">
        <v>15.18</v>
      </c>
      <c r="Q29" s="80">
        <f t="shared" si="1"/>
        <v>578.29</v>
      </c>
      <c r="R29" s="80">
        <v>563.21</v>
      </c>
      <c r="S29" s="80">
        <v>22</v>
      </c>
      <c r="T29" s="83" t="s">
        <v>142</v>
      </c>
      <c r="U29" s="85" t="s">
        <v>143</v>
      </c>
    </row>
    <row r="30" spans="1:21" ht="85.5">
      <c r="A30" s="77">
        <v>10</v>
      </c>
      <c r="B30" s="79" t="s">
        <v>221</v>
      </c>
      <c r="C30" s="79" t="s">
        <v>10</v>
      </c>
      <c r="D30" s="36" t="s">
        <v>235</v>
      </c>
      <c r="E30" s="51" t="s">
        <v>183</v>
      </c>
      <c r="F30" s="79" t="s">
        <v>135</v>
      </c>
      <c r="G30" s="52" t="s">
        <v>146</v>
      </c>
      <c r="H30" s="80" t="s">
        <v>147</v>
      </c>
      <c r="I30" s="52" t="s">
        <v>227</v>
      </c>
      <c r="J30" s="80">
        <v>12.42</v>
      </c>
      <c r="K30" s="80">
        <v>223.26</v>
      </c>
      <c r="L30" s="80" t="s">
        <v>236</v>
      </c>
      <c r="M30" s="80" t="s">
        <v>237</v>
      </c>
      <c r="N30" s="80" t="s">
        <v>190</v>
      </c>
      <c r="O30" s="80">
        <v>195.15</v>
      </c>
      <c r="P30" s="80"/>
      <c r="Q30" s="80">
        <f t="shared" si="1"/>
        <v>195.15</v>
      </c>
      <c r="R30" s="80">
        <v>205.51</v>
      </c>
      <c r="S30" s="80">
        <v>12.42</v>
      </c>
      <c r="T30" s="83" t="s">
        <v>142</v>
      </c>
      <c r="U30" s="85" t="s">
        <v>143</v>
      </c>
    </row>
    <row r="31" spans="1:21" ht="85.5">
      <c r="A31" s="77">
        <v>11</v>
      </c>
      <c r="B31" s="79" t="s">
        <v>221</v>
      </c>
      <c r="C31" s="79" t="s">
        <v>10</v>
      </c>
      <c r="D31" s="36" t="s">
        <v>238</v>
      </c>
      <c r="E31" s="51" t="s">
        <v>165</v>
      </c>
      <c r="F31" s="79" t="s">
        <v>135</v>
      </c>
      <c r="G31" s="52" t="s">
        <v>146</v>
      </c>
      <c r="H31" s="80" t="s">
        <v>147</v>
      </c>
      <c r="I31" s="52" t="s">
        <v>198</v>
      </c>
      <c r="J31" s="80">
        <v>15.18</v>
      </c>
      <c r="K31" s="80">
        <v>415.04</v>
      </c>
      <c r="L31" s="80" t="s">
        <v>199</v>
      </c>
      <c r="M31" s="80" t="s">
        <v>200</v>
      </c>
      <c r="N31" s="80" t="s">
        <v>230</v>
      </c>
      <c r="O31" s="80">
        <v>468.04</v>
      </c>
      <c r="P31" s="80"/>
      <c r="Q31" s="80">
        <f t="shared" si="1"/>
        <v>468.04</v>
      </c>
      <c r="R31" s="80">
        <f>169.85+359.04</f>
        <v>528.89</v>
      </c>
      <c r="S31" s="80">
        <v>15.18</v>
      </c>
      <c r="T31" s="83" t="s">
        <v>142</v>
      </c>
      <c r="U31" s="85" t="s">
        <v>143</v>
      </c>
    </row>
    <row r="32" spans="1:21" ht="142.5">
      <c r="A32" s="77">
        <v>12</v>
      </c>
      <c r="B32" s="79" t="s">
        <v>221</v>
      </c>
      <c r="C32" s="79" t="s">
        <v>10</v>
      </c>
      <c r="D32" s="36" t="s">
        <v>239</v>
      </c>
      <c r="E32" s="84" t="s">
        <v>169</v>
      </c>
      <c r="F32" s="79" t="s">
        <v>135</v>
      </c>
      <c r="G32" s="52" t="s">
        <v>146</v>
      </c>
      <c r="H32" s="80" t="s">
        <v>147</v>
      </c>
      <c r="I32" s="52" t="s">
        <v>192</v>
      </c>
      <c r="J32" s="80">
        <v>13.36</v>
      </c>
      <c r="K32" s="80">
        <v>288.77</v>
      </c>
      <c r="L32" s="80" t="s">
        <v>240</v>
      </c>
      <c r="M32" s="80" t="s">
        <v>241</v>
      </c>
      <c r="N32" s="80" t="s">
        <v>242</v>
      </c>
      <c r="O32" s="80">
        <v>276.69</v>
      </c>
      <c r="P32" s="80"/>
      <c r="Q32" s="80">
        <f t="shared" si="1"/>
        <v>276.69</v>
      </c>
      <c r="R32" s="80">
        <f>210.32+61.01</f>
        <v>271.33</v>
      </c>
      <c r="S32" s="80">
        <v>13.36</v>
      </c>
      <c r="T32" s="83" t="s">
        <v>142</v>
      </c>
      <c r="U32" s="85" t="s">
        <v>143</v>
      </c>
    </row>
    <row r="33" spans="1:21" ht="71.25">
      <c r="A33" s="77">
        <v>8</v>
      </c>
      <c r="B33" s="79" t="s">
        <v>221</v>
      </c>
      <c r="C33" s="79" t="s">
        <v>10</v>
      </c>
      <c r="D33" s="36" t="s">
        <v>243</v>
      </c>
      <c r="E33" s="84" t="s">
        <v>172</v>
      </c>
      <c r="F33" s="79" t="s">
        <v>135</v>
      </c>
      <c r="G33" s="52" t="s">
        <v>166</v>
      </c>
      <c r="H33" s="52" t="s">
        <v>166</v>
      </c>
      <c r="I33" s="52" t="s">
        <v>204</v>
      </c>
      <c r="J33" s="80">
        <v>15.75</v>
      </c>
      <c r="K33" s="80">
        <v>374.55</v>
      </c>
      <c r="L33" s="80" t="s">
        <v>224</v>
      </c>
      <c r="M33" s="80" t="s">
        <v>225</v>
      </c>
      <c r="N33" s="80" t="s">
        <v>201</v>
      </c>
      <c r="O33" s="80">
        <v>438.38</v>
      </c>
      <c r="P33" s="80">
        <v>51.33</v>
      </c>
      <c r="Q33" s="80">
        <f t="shared" si="1"/>
        <v>489.71</v>
      </c>
      <c r="R33" s="80">
        <v>487.89</v>
      </c>
      <c r="S33" s="80">
        <v>15.75</v>
      </c>
      <c r="T33" s="83" t="s">
        <v>142</v>
      </c>
      <c r="U33" s="85" t="s">
        <v>143</v>
      </c>
    </row>
    <row r="34" spans="1:21" ht="57">
      <c r="A34" s="77">
        <v>13</v>
      </c>
      <c r="B34" s="79" t="s">
        <v>244</v>
      </c>
      <c r="C34" s="79" t="s">
        <v>10</v>
      </c>
      <c r="D34" s="36" t="s">
        <v>245</v>
      </c>
      <c r="E34" s="51" t="s">
        <v>137</v>
      </c>
      <c r="F34" s="79" t="s">
        <v>135</v>
      </c>
      <c r="G34" s="53" t="s">
        <v>146</v>
      </c>
      <c r="H34" s="80" t="s">
        <v>147</v>
      </c>
      <c r="I34" s="53" t="s">
        <v>246</v>
      </c>
      <c r="J34" s="114">
        <v>5.738</v>
      </c>
      <c r="K34" s="80">
        <v>178.14</v>
      </c>
      <c r="L34" s="80" t="s">
        <v>247</v>
      </c>
      <c r="M34" s="80" t="s">
        <v>248</v>
      </c>
      <c r="N34" s="80" t="s">
        <v>249</v>
      </c>
      <c r="O34" s="80">
        <v>114.64</v>
      </c>
      <c r="P34" s="80"/>
      <c r="Q34" s="80">
        <f>SUM(O34:P34)</f>
        <v>114.64</v>
      </c>
      <c r="R34" s="80">
        <v>112.66</v>
      </c>
      <c r="S34" s="80">
        <v>5.74</v>
      </c>
      <c r="T34" s="85" t="s">
        <v>142</v>
      </c>
      <c r="U34" s="83" t="s">
        <v>143</v>
      </c>
    </row>
    <row r="35" spans="1:21" ht="128.25">
      <c r="A35" s="77">
        <v>1</v>
      </c>
      <c r="B35" s="79" t="s">
        <v>244</v>
      </c>
      <c r="C35" s="79" t="s">
        <v>10</v>
      </c>
      <c r="D35" s="36" t="s">
        <v>250</v>
      </c>
      <c r="E35" s="51" t="s">
        <v>145</v>
      </c>
      <c r="F35" s="79" t="s">
        <v>135</v>
      </c>
      <c r="G35" s="53" t="s">
        <v>251</v>
      </c>
      <c r="H35" s="80" t="s">
        <v>140</v>
      </c>
      <c r="I35" s="53" t="s">
        <v>246</v>
      </c>
      <c r="J35" s="114">
        <v>2.615</v>
      </c>
      <c r="K35" s="80">
        <v>85.27</v>
      </c>
      <c r="L35" s="80" t="s">
        <v>252</v>
      </c>
      <c r="M35" s="80" t="s">
        <v>253</v>
      </c>
      <c r="N35" s="80" t="s">
        <v>254</v>
      </c>
      <c r="O35" s="80">
        <v>69.51</v>
      </c>
      <c r="P35" s="80"/>
      <c r="Q35" s="80">
        <f>SUM(O35:P35)</f>
        <v>69.51</v>
      </c>
      <c r="R35" s="80">
        <v>48.1</v>
      </c>
      <c r="S35" s="80">
        <v>2.62</v>
      </c>
      <c r="T35" s="85" t="s">
        <v>142</v>
      </c>
      <c r="U35" s="83" t="s">
        <v>143</v>
      </c>
    </row>
    <row r="36" spans="1:21" ht="114">
      <c r="A36" s="77">
        <v>1</v>
      </c>
      <c r="B36" s="79" t="s">
        <v>244</v>
      </c>
      <c r="C36" s="79" t="s">
        <v>10</v>
      </c>
      <c r="D36" s="36" t="s">
        <v>262</v>
      </c>
      <c r="E36" s="51" t="s">
        <v>183</v>
      </c>
      <c r="F36" s="79" t="s">
        <v>135</v>
      </c>
      <c r="G36" s="53" t="s">
        <v>10</v>
      </c>
      <c r="H36" s="80" t="s">
        <v>147</v>
      </c>
      <c r="I36" s="53" t="s">
        <v>263</v>
      </c>
      <c r="J36" s="114">
        <v>7.648</v>
      </c>
      <c r="K36" s="80">
        <v>276.23</v>
      </c>
      <c r="L36" s="80" t="s">
        <v>247</v>
      </c>
      <c r="M36" s="80" t="s">
        <v>248</v>
      </c>
      <c r="N36" s="80" t="s">
        <v>216</v>
      </c>
      <c r="O36" s="80">
        <v>243.64</v>
      </c>
      <c r="P36" s="80">
        <v>54.7</v>
      </c>
      <c r="Q36" s="80">
        <f>SUM(O36:P36)</f>
        <v>298.34</v>
      </c>
      <c r="R36" s="80">
        <f>297.97+3.12</f>
        <v>301.09000000000003</v>
      </c>
      <c r="S36" s="80">
        <v>7.65</v>
      </c>
      <c r="T36" s="85" t="s">
        <v>142</v>
      </c>
      <c r="U36" s="83" t="s">
        <v>143</v>
      </c>
    </row>
    <row r="37" spans="1:21" ht="71.25">
      <c r="A37" s="77">
        <v>4</v>
      </c>
      <c r="B37" s="79" t="s">
        <v>244</v>
      </c>
      <c r="C37" s="79" t="s">
        <v>10</v>
      </c>
      <c r="D37" s="36" t="s">
        <v>264</v>
      </c>
      <c r="E37" s="51" t="s">
        <v>165</v>
      </c>
      <c r="F37" s="79" t="s">
        <v>135</v>
      </c>
      <c r="G37" s="53" t="s">
        <v>139</v>
      </c>
      <c r="H37" s="80" t="s">
        <v>139</v>
      </c>
      <c r="I37" s="53" t="s">
        <v>265</v>
      </c>
      <c r="J37" s="114">
        <v>2.927</v>
      </c>
      <c r="K37" s="80">
        <v>116.28</v>
      </c>
      <c r="L37" s="80" t="s">
        <v>266</v>
      </c>
      <c r="M37" s="80" t="s">
        <v>267</v>
      </c>
      <c r="N37" s="80" t="s">
        <v>268</v>
      </c>
      <c r="O37" s="80">
        <v>107.03</v>
      </c>
      <c r="P37" s="80"/>
      <c r="Q37" s="80">
        <f>SUM(O37:P37)</f>
        <v>107.03</v>
      </c>
      <c r="R37" s="80">
        <f>40.2+66.73</f>
        <v>106.93</v>
      </c>
      <c r="S37" s="80">
        <v>2.93</v>
      </c>
      <c r="T37" s="85" t="s">
        <v>142</v>
      </c>
      <c r="U37" s="83" t="s">
        <v>143</v>
      </c>
    </row>
    <row r="38" spans="1:21" ht="85.5">
      <c r="A38" s="77">
        <v>5</v>
      </c>
      <c r="B38" s="79" t="s">
        <v>244</v>
      </c>
      <c r="C38" s="79" t="s">
        <v>10</v>
      </c>
      <c r="D38" s="36" t="s">
        <v>269</v>
      </c>
      <c r="E38" s="51" t="s">
        <v>169</v>
      </c>
      <c r="F38" s="79" t="s">
        <v>135</v>
      </c>
      <c r="G38" s="53" t="s">
        <v>139</v>
      </c>
      <c r="H38" s="80" t="s">
        <v>139</v>
      </c>
      <c r="I38" s="53" t="s">
        <v>270</v>
      </c>
      <c r="J38" s="114">
        <v>9.746</v>
      </c>
      <c r="K38" s="80">
        <v>316.18</v>
      </c>
      <c r="L38" s="80" t="s">
        <v>271</v>
      </c>
      <c r="M38" s="80" t="s">
        <v>272</v>
      </c>
      <c r="N38" s="115" t="s">
        <v>273</v>
      </c>
      <c r="O38" s="80">
        <v>310.78</v>
      </c>
      <c r="P38" s="80"/>
      <c r="Q38" s="80">
        <f>SUM(O38:P38)</f>
        <v>310.78</v>
      </c>
      <c r="R38" s="80">
        <v>310.65</v>
      </c>
      <c r="S38" s="80">
        <v>9.75</v>
      </c>
      <c r="T38" s="85" t="s">
        <v>142</v>
      </c>
      <c r="U38" s="83" t="s">
        <v>261</v>
      </c>
    </row>
    <row r="39" spans="1:21" ht="85.5">
      <c r="A39" s="77">
        <v>6</v>
      </c>
      <c r="B39" s="79" t="s">
        <v>244</v>
      </c>
      <c r="C39" s="79" t="s">
        <v>10</v>
      </c>
      <c r="D39" s="36" t="s">
        <v>274</v>
      </c>
      <c r="E39" s="51" t="s">
        <v>172</v>
      </c>
      <c r="F39" s="79" t="s">
        <v>135</v>
      </c>
      <c r="G39" s="53" t="s">
        <v>139</v>
      </c>
      <c r="H39" s="80" t="s">
        <v>139</v>
      </c>
      <c r="I39" s="53" t="s">
        <v>275</v>
      </c>
      <c r="J39" s="114">
        <v>6.972</v>
      </c>
      <c r="K39" s="80">
        <v>308.34</v>
      </c>
      <c r="L39" s="80" t="s">
        <v>276</v>
      </c>
      <c r="M39" s="80" t="s">
        <v>277</v>
      </c>
      <c r="N39" s="90" t="s">
        <v>278</v>
      </c>
      <c r="O39" s="80">
        <v>218.3</v>
      </c>
      <c r="P39" s="80">
        <v>30.72</v>
      </c>
      <c r="Q39" s="80">
        <f>SUM(O39:P39)</f>
        <v>249.02</v>
      </c>
      <c r="R39" s="80">
        <v>248.32</v>
      </c>
      <c r="S39" s="80">
        <v>6.97</v>
      </c>
      <c r="T39" s="85" t="s">
        <v>142</v>
      </c>
      <c r="U39" s="83" t="s">
        <v>143</v>
      </c>
    </row>
    <row r="40" spans="1:21" ht="90">
      <c r="A40" s="77">
        <v>2</v>
      </c>
      <c r="B40" s="79" t="s">
        <v>279</v>
      </c>
      <c r="C40" s="79" t="s">
        <v>10</v>
      </c>
      <c r="D40" s="37" t="s">
        <v>287</v>
      </c>
      <c r="E40" s="84" t="s">
        <v>165</v>
      </c>
      <c r="F40" s="79" t="s">
        <v>135</v>
      </c>
      <c r="G40" s="79" t="s">
        <v>251</v>
      </c>
      <c r="H40" s="53" t="s">
        <v>140</v>
      </c>
      <c r="I40" s="79" t="s">
        <v>270</v>
      </c>
      <c r="J40" s="116">
        <v>4.17</v>
      </c>
      <c r="K40" s="80">
        <v>145.62</v>
      </c>
      <c r="L40" s="79" t="s">
        <v>288</v>
      </c>
      <c r="M40" s="79" t="s">
        <v>289</v>
      </c>
      <c r="N40" s="80" t="s">
        <v>254</v>
      </c>
      <c r="O40" s="80">
        <v>112.14</v>
      </c>
      <c r="P40" s="80"/>
      <c r="Q40" s="80">
        <f aca="true" t="shared" si="2" ref="Q40:Q45">SUM(O40:P40)</f>
        <v>112.14</v>
      </c>
      <c r="R40" s="80">
        <v>99.04</v>
      </c>
      <c r="S40" s="80">
        <v>4.17</v>
      </c>
      <c r="T40" s="83" t="s">
        <v>142</v>
      </c>
      <c r="U40" s="83" t="s">
        <v>143</v>
      </c>
    </row>
    <row r="41" spans="1:21" ht="75">
      <c r="A41" s="77">
        <v>7</v>
      </c>
      <c r="B41" s="79" t="s">
        <v>279</v>
      </c>
      <c r="C41" s="79" t="s">
        <v>10</v>
      </c>
      <c r="D41" s="37" t="s">
        <v>290</v>
      </c>
      <c r="E41" s="51" t="s">
        <v>169</v>
      </c>
      <c r="F41" s="79" t="s">
        <v>135</v>
      </c>
      <c r="G41" s="79" t="s">
        <v>139</v>
      </c>
      <c r="H41" s="80" t="s">
        <v>139</v>
      </c>
      <c r="I41" s="79" t="s">
        <v>291</v>
      </c>
      <c r="J41" s="80">
        <v>7.93</v>
      </c>
      <c r="K41" s="80">
        <v>263.05</v>
      </c>
      <c r="L41" s="79" t="s">
        <v>292</v>
      </c>
      <c r="M41" s="79" t="s">
        <v>293</v>
      </c>
      <c r="N41" s="79" t="s">
        <v>294</v>
      </c>
      <c r="O41" s="80">
        <v>251.27</v>
      </c>
      <c r="P41" s="80"/>
      <c r="Q41" s="80">
        <f t="shared" si="2"/>
        <v>251.27</v>
      </c>
      <c r="R41" s="80">
        <f>0+166.74+82.84+20.03</f>
        <v>269.61</v>
      </c>
      <c r="S41" s="80">
        <v>7.93</v>
      </c>
      <c r="T41" s="92" t="s">
        <v>142</v>
      </c>
      <c r="U41" s="83" t="s">
        <v>143</v>
      </c>
    </row>
    <row r="42" spans="1:21" ht="105">
      <c r="A42" s="77">
        <v>3</v>
      </c>
      <c r="B42" s="79" t="s">
        <v>279</v>
      </c>
      <c r="C42" s="79" t="s">
        <v>10</v>
      </c>
      <c r="D42" s="37" t="s">
        <v>295</v>
      </c>
      <c r="E42" s="84" t="s">
        <v>172</v>
      </c>
      <c r="F42" s="79" t="s">
        <v>135</v>
      </c>
      <c r="G42" s="79" t="s">
        <v>251</v>
      </c>
      <c r="H42" s="53" t="s">
        <v>140</v>
      </c>
      <c r="I42" s="79" t="s">
        <v>296</v>
      </c>
      <c r="J42" s="116">
        <v>27.49</v>
      </c>
      <c r="K42" s="80">
        <v>979.58</v>
      </c>
      <c r="L42" s="79" t="s">
        <v>297</v>
      </c>
      <c r="M42" s="79" t="s">
        <v>298</v>
      </c>
      <c r="N42" s="79" t="s">
        <v>299</v>
      </c>
      <c r="O42" s="80">
        <v>967.2</v>
      </c>
      <c r="P42" s="80"/>
      <c r="Q42" s="80">
        <f t="shared" si="2"/>
        <v>967.2</v>
      </c>
      <c r="R42" s="80">
        <v>882.39</v>
      </c>
      <c r="S42" s="80">
        <v>27.49</v>
      </c>
      <c r="T42" s="83" t="s">
        <v>142</v>
      </c>
      <c r="U42" s="83" t="s">
        <v>143</v>
      </c>
    </row>
    <row r="43" spans="1:21" ht="75">
      <c r="A43" s="77">
        <v>14</v>
      </c>
      <c r="B43" s="79" t="s">
        <v>279</v>
      </c>
      <c r="C43" s="79" t="s">
        <v>10</v>
      </c>
      <c r="D43" s="37" t="s">
        <v>300</v>
      </c>
      <c r="E43" s="51" t="s">
        <v>174</v>
      </c>
      <c r="F43" s="79" t="s">
        <v>135</v>
      </c>
      <c r="G43" s="53" t="s">
        <v>146</v>
      </c>
      <c r="H43" s="80" t="s">
        <v>147</v>
      </c>
      <c r="I43" s="79" t="s">
        <v>192</v>
      </c>
      <c r="J43" s="80">
        <v>23.66</v>
      </c>
      <c r="K43" s="80">
        <v>829.08</v>
      </c>
      <c r="L43" s="79" t="s">
        <v>301</v>
      </c>
      <c r="M43" s="79" t="s">
        <v>302</v>
      </c>
      <c r="N43" s="38" t="s">
        <v>273</v>
      </c>
      <c r="O43" s="80">
        <v>803.08</v>
      </c>
      <c r="P43" s="80"/>
      <c r="Q43" s="80">
        <f t="shared" si="2"/>
        <v>803.08</v>
      </c>
      <c r="R43" s="80">
        <f>884.68+8.74</f>
        <v>893.42</v>
      </c>
      <c r="S43" s="80">
        <v>23.66</v>
      </c>
      <c r="T43" s="83" t="s">
        <v>142</v>
      </c>
      <c r="U43" s="83" t="s">
        <v>143</v>
      </c>
    </row>
    <row r="44" spans="1:21" ht="75">
      <c r="A44" s="77">
        <v>2</v>
      </c>
      <c r="B44" s="79" t="s">
        <v>279</v>
      </c>
      <c r="C44" s="79" t="s">
        <v>10</v>
      </c>
      <c r="D44" s="37" t="s">
        <v>303</v>
      </c>
      <c r="E44" s="84" t="s">
        <v>304</v>
      </c>
      <c r="F44" s="79" t="s">
        <v>135</v>
      </c>
      <c r="G44" s="79" t="s">
        <v>10</v>
      </c>
      <c r="H44" s="53" t="s">
        <v>140</v>
      </c>
      <c r="I44" s="79" t="s">
        <v>305</v>
      </c>
      <c r="J44" s="116">
        <v>5.64</v>
      </c>
      <c r="K44" s="80">
        <v>188.46</v>
      </c>
      <c r="L44" s="79" t="s">
        <v>306</v>
      </c>
      <c r="M44" s="79" t="s">
        <v>307</v>
      </c>
      <c r="N44" s="79" t="s">
        <v>308</v>
      </c>
      <c r="O44" s="80">
        <v>96.46</v>
      </c>
      <c r="P44" s="80"/>
      <c r="Q44" s="80">
        <f t="shared" si="2"/>
        <v>96.46</v>
      </c>
      <c r="R44" s="80">
        <f>95.4+1.23+13.49</f>
        <v>110.12</v>
      </c>
      <c r="S44" s="80">
        <v>5.64</v>
      </c>
      <c r="T44" s="83" t="s">
        <v>142</v>
      </c>
      <c r="U44" s="83" t="s">
        <v>143</v>
      </c>
    </row>
    <row r="45" spans="1:21" ht="105">
      <c r="A45" s="77">
        <v>6</v>
      </c>
      <c r="B45" s="79" t="s">
        <v>279</v>
      </c>
      <c r="C45" s="79" t="s">
        <v>10</v>
      </c>
      <c r="D45" s="37" t="s">
        <v>309</v>
      </c>
      <c r="E45" s="84" t="s">
        <v>310</v>
      </c>
      <c r="F45" s="79" t="s">
        <v>135</v>
      </c>
      <c r="G45" s="79" t="s">
        <v>160</v>
      </c>
      <c r="H45" s="80" t="s">
        <v>147</v>
      </c>
      <c r="I45" s="79" t="s">
        <v>311</v>
      </c>
      <c r="J45" s="116">
        <v>13.42</v>
      </c>
      <c r="K45" s="80">
        <v>446.87</v>
      </c>
      <c r="L45" s="79" t="s">
        <v>306</v>
      </c>
      <c r="M45" s="79" t="s">
        <v>312</v>
      </c>
      <c r="N45" s="79"/>
      <c r="O45" s="80">
        <v>260.11</v>
      </c>
      <c r="P45" s="80"/>
      <c r="Q45" s="80">
        <f t="shared" si="2"/>
        <v>260.11</v>
      </c>
      <c r="R45" s="80">
        <f>257+13.16+6.34</f>
        <v>276.5</v>
      </c>
      <c r="S45" s="80">
        <v>14.32</v>
      </c>
      <c r="T45" s="83" t="s">
        <v>142</v>
      </c>
      <c r="U45" s="83" t="s">
        <v>143</v>
      </c>
    </row>
    <row r="46" spans="1:21" ht="89.25">
      <c r="A46" s="77">
        <v>3</v>
      </c>
      <c r="B46" s="79" t="s">
        <v>313</v>
      </c>
      <c r="C46" s="79" t="s">
        <v>10</v>
      </c>
      <c r="D46" s="39" t="s">
        <v>318</v>
      </c>
      <c r="E46" s="84" t="s">
        <v>183</v>
      </c>
      <c r="F46" s="79" t="s">
        <v>135</v>
      </c>
      <c r="G46" s="79" t="s">
        <v>10</v>
      </c>
      <c r="H46" s="80" t="s">
        <v>147</v>
      </c>
      <c r="I46" s="111" t="s">
        <v>319</v>
      </c>
      <c r="J46" s="90">
        <v>11.73</v>
      </c>
      <c r="K46" s="80">
        <v>383.64</v>
      </c>
      <c r="L46" s="80" t="s">
        <v>320</v>
      </c>
      <c r="M46" s="80" t="s">
        <v>321</v>
      </c>
      <c r="N46" s="80" t="s">
        <v>322</v>
      </c>
      <c r="O46" s="80">
        <v>268.97</v>
      </c>
      <c r="P46" s="80"/>
      <c r="Q46" s="80">
        <f>SUM(O46:P46)</f>
        <v>268.97</v>
      </c>
      <c r="R46" s="80">
        <v>263.53</v>
      </c>
      <c r="S46" s="80">
        <v>11.73</v>
      </c>
      <c r="T46" s="56" t="s">
        <v>142</v>
      </c>
      <c r="U46" s="56" t="s">
        <v>143</v>
      </c>
    </row>
    <row r="47" spans="1:21" ht="89.25">
      <c r="A47" s="77">
        <v>15</v>
      </c>
      <c r="B47" s="79" t="s">
        <v>313</v>
      </c>
      <c r="C47" s="79" t="s">
        <v>10</v>
      </c>
      <c r="D47" s="39" t="s">
        <v>328</v>
      </c>
      <c r="E47" s="84" t="s">
        <v>174</v>
      </c>
      <c r="F47" s="79" t="s">
        <v>135</v>
      </c>
      <c r="G47" s="79" t="s">
        <v>146</v>
      </c>
      <c r="H47" s="80" t="s">
        <v>147</v>
      </c>
      <c r="I47" s="79" t="s">
        <v>329</v>
      </c>
      <c r="J47" s="90">
        <v>3.69</v>
      </c>
      <c r="K47" s="80">
        <v>64.18</v>
      </c>
      <c r="L47" s="80" t="s">
        <v>330</v>
      </c>
      <c r="M47" s="80" t="s">
        <v>331</v>
      </c>
      <c r="N47" s="80" t="s">
        <v>308</v>
      </c>
      <c r="O47" s="80">
        <v>32.95</v>
      </c>
      <c r="P47" s="80"/>
      <c r="Q47" s="80">
        <f>SUM(O47:P47)</f>
        <v>32.95</v>
      </c>
      <c r="R47" s="80">
        <f>31.4+0.41</f>
        <v>31.81</v>
      </c>
      <c r="S47" s="80">
        <v>3.69</v>
      </c>
      <c r="T47" s="56" t="s">
        <v>142</v>
      </c>
      <c r="U47" s="56" t="s">
        <v>143</v>
      </c>
    </row>
    <row r="48" spans="1:21" ht="89.25">
      <c r="A48" s="77">
        <v>16</v>
      </c>
      <c r="B48" s="79" t="s">
        <v>313</v>
      </c>
      <c r="C48" s="79" t="s">
        <v>10</v>
      </c>
      <c r="D48" s="39" t="s">
        <v>332</v>
      </c>
      <c r="E48" s="84" t="s">
        <v>310</v>
      </c>
      <c r="F48" s="79" t="s">
        <v>159</v>
      </c>
      <c r="G48" s="79" t="s">
        <v>146</v>
      </c>
      <c r="H48" s="80" t="s">
        <v>147</v>
      </c>
      <c r="I48" s="79" t="s">
        <v>315</v>
      </c>
      <c r="J48" s="80">
        <v>30.66</v>
      </c>
      <c r="K48" s="80">
        <v>733.22</v>
      </c>
      <c r="L48" s="80" t="s">
        <v>333</v>
      </c>
      <c r="M48" s="80" t="s">
        <v>334</v>
      </c>
      <c r="N48" s="80" t="s">
        <v>335</v>
      </c>
      <c r="O48" s="80">
        <v>719.28</v>
      </c>
      <c r="P48" s="80"/>
      <c r="Q48" s="80">
        <f>SUM(O48:P48)</f>
        <v>719.28</v>
      </c>
      <c r="R48" s="80">
        <f>711.27+3.29+15.66</f>
        <v>730.2199999999999</v>
      </c>
      <c r="S48" s="80">
        <v>29.8</v>
      </c>
      <c r="T48" s="56" t="s">
        <v>142</v>
      </c>
      <c r="U48" s="56" t="s">
        <v>261</v>
      </c>
    </row>
    <row r="49" spans="1:21" ht="127.5">
      <c r="A49" s="77">
        <v>17</v>
      </c>
      <c r="B49" s="79" t="s">
        <v>313</v>
      </c>
      <c r="C49" s="79" t="s">
        <v>10</v>
      </c>
      <c r="D49" s="39" t="s">
        <v>336</v>
      </c>
      <c r="E49" s="84" t="s">
        <v>337</v>
      </c>
      <c r="F49" s="79" t="s">
        <v>135</v>
      </c>
      <c r="G49" s="79" t="s">
        <v>146</v>
      </c>
      <c r="H49" s="80" t="s">
        <v>147</v>
      </c>
      <c r="I49" s="79" t="s">
        <v>338</v>
      </c>
      <c r="J49" s="90">
        <v>8.48</v>
      </c>
      <c r="K49" s="80">
        <v>263.62</v>
      </c>
      <c r="L49" s="80" t="s">
        <v>333</v>
      </c>
      <c r="M49" s="80" t="s">
        <v>339</v>
      </c>
      <c r="N49" s="80"/>
      <c r="O49" s="80">
        <v>148.08</v>
      </c>
      <c r="P49" s="80"/>
      <c r="Q49" s="80">
        <f>SUM(O49:P49)</f>
        <v>148.08</v>
      </c>
      <c r="R49" s="80">
        <f>165.69+1.66</f>
        <v>167.35</v>
      </c>
      <c r="S49" s="80">
        <v>8.48</v>
      </c>
      <c r="T49" s="56" t="s">
        <v>142</v>
      </c>
      <c r="U49" s="56" t="s">
        <v>143</v>
      </c>
    </row>
    <row r="50" spans="1:21" ht="102">
      <c r="A50" s="77">
        <v>4</v>
      </c>
      <c r="B50" s="79" t="s">
        <v>313</v>
      </c>
      <c r="C50" s="79" t="s">
        <v>10</v>
      </c>
      <c r="D50" s="39" t="s">
        <v>340</v>
      </c>
      <c r="E50" s="84" t="s">
        <v>341</v>
      </c>
      <c r="F50" s="79" t="s">
        <v>135</v>
      </c>
      <c r="G50" s="79" t="s">
        <v>10</v>
      </c>
      <c r="H50" s="53" t="s">
        <v>140</v>
      </c>
      <c r="I50" s="79" t="s">
        <v>342</v>
      </c>
      <c r="J50" s="90">
        <v>9.55</v>
      </c>
      <c r="K50" s="80">
        <v>282.46</v>
      </c>
      <c r="L50" s="80" t="s">
        <v>343</v>
      </c>
      <c r="M50" s="80" t="s">
        <v>344</v>
      </c>
      <c r="N50" s="80" t="s">
        <v>103</v>
      </c>
      <c r="O50" s="80">
        <v>239.78</v>
      </c>
      <c r="P50" s="80"/>
      <c r="Q50" s="80">
        <f>SUM(O50:P50)</f>
        <v>239.78</v>
      </c>
      <c r="R50" s="80">
        <v>202.41</v>
      </c>
      <c r="S50" s="80">
        <v>9.55</v>
      </c>
      <c r="T50" s="57" t="s">
        <v>142</v>
      </c>
      <c r="U50" s="56" t="s">
        <v>143</v>
      </c>
    </row>
    <row r="51" spans="1:21" ht="76.5">
      <c r="A51" s="77">
        <v>9</v>
      </c>
      <c r="B51" s="79" t="s">
        <v>313</v>
      </c>
      <c r="C51" s="79" t="s">
        <v>10</v>
      </c>
      <c r="D51" s="39" t="s">
        <v>345</v>
      </c>
      <c r="E51" s="84" t="s">
        <v>346</v>
      </c>
      <c r="F51" s="79" t="s">
        <v>135</v>
      </c>
      <c r="G51" s="79" t="s">
        <v>166</v>
      </c>
      <c r="H51" s="79" t="s">
        <v>166</v>
      </c>
      <c r="I51" s="79" t="s">
        <v>347</v>
      </c>
      <c r="J51" s="90">
        <v>7</v>
      </c>
      <c r="K51" s="80">
        <v>181.24</v>
      </c>
      <c r="L51" s="80" t="s">
        <v>306</v>
      </c>
      <c r="M51" s="80" t="s">
        <v>307</v>
      </c>
      <c r="N51" s="80" t="s">
        <v>348</v>
      </c>
      <c r="O51" s="80">
        <v>126.43</v>
      </c>
      <c r="P51" s="80"/>
      <c r="Q51" s="80">
        <f aca="true" t="shared" si="3" ref="Q51:Q60">SUM(O51:P51)</f>
        <v>126.43</v>
      </c>
      <c r="R51" s="80">
        <v>123.98</v>
      </c>
      <c r="S51" s="80">
        <v>7</v>
      </c>
      <c r="T51" s="56" t="s">
        <v>142</v>
      </c>
      <c r="U51" s="56" t="s">
        <v>143</v>
      </c>
    </row>
    <row r="52" spans="1:21" ht="76.5">
      <c r="A52" s="77">
        <v>10</v>
      </c>
      <c r="B52" s="79" t="s">
        <v>313</v>
      </c>
      <c r="C52" s="79" t="s">
        <v>10</v>
      </c>
      <c r="D52" s="39" t="s">
        <v>349</v>
      </c>
      <c r="E52" s="84" t="s">
        <v>350</v>
      </c>
      <c r="F52" s="79" t="s">
        <v>135</v>
      </c>
      <c r="G52" s="79" t="s">
        <v>166</v>
      </c>
      <c r="H52" s="79" t="s">
        <v>166</v>
      </c>
      <c r="I52" s="79" t="s">
        <v>351</v>
      </c>
      <c r="J52" s="90">
        <v>12.45</v>
      </c>
      <c r="K52" s="80">
        <v>331.72</v>
      </c>
      <c r="L52" s="80" t="s">
        <v>306</v>
      </c>
      <c r="M52" s="80" t="s">
        <v>312</v>
      </c>
      <c r="N52" s="80" t="s">
        <v>278</v>
      </c>
      <c r="O52" s="80">
        <v>189.83</v>
      </c>
      <c r="P52" s="80"/>
      <c r="Q52" s="80">
        <f t="shared" si="3"/>
        <v>189.83</v>
      </c>
      <c r="R52" s="80">
        <v>188.01</v>
      </c>
      <c r="S52" s="80">
        <v>12.45</v>
      </c>
      <c r="T52" s="56" t="s">
        <v>142</v>
      </c>
      <c r="U52" s="56" t="s">
        <v>143</v>
      </c>
    </row>
    <row r="53" spans="1:21" ht="63.75">
      <c r="A53" s="77">
        <v>4</v>
      </c>
      <c r="B53" s="79" t="s">
        <v>313</v>
      </c>
      <c r="C53" s="79" t="s">
        <v>10</v>
      </c>
      <c r="D53" s="39" t="s">
        <v>357</v>
      </c>
      <c r="E53" s="84" t="s">
        <v>358</v>
      </c>
      <c r="F53" s="79" t="s">
        <v>135</v>
      </c>
      <c r="G53" s="79" t="s">
        <v>251</v>
      </c>
      <c r="H53" s="53" t="s">
        <v>140</v>
      </c>
      <c r="I53" s="79" t="s">
        <v>359</v>
      </c>
      <c r="J53" s="90">
        <v>4.7</v>
      </c>
      <c r="K53" s="80">
        <v>165.98</v>
      </c>
      <c r="L53" s="80" t="s">
        <v>306</v>
      </c>
      <c r="M53" s="80" t="s">
        <v>307</v>
      </c>
      <c r="N53" s="80" t="s">
        <v>348</v>
      </c>
      <c r="O53" s="80">
        <v>99.94</v>
      </c>
      <c r="P53" s="80"/>
      <c r="Q53" s="80">
        <f t="shared" si="3"/>
        <v>99.94</v>
      </c>
      <c r="R53" s="80">
        <v>89.44</v>
      </c>
      <c r="S53" s="80">
        <v>4.7</v>
      </c>
      <c r="T53" s="56" t="s">
        <v>142</v>
      </c>
      <c r="U53" s="56" t="s">
        <v>143</v>
      </c>
    </row>
    <row r="54" spans="1:21" ht="76.5">
      <c r="A54" s="77">
        <v>7</v>
      </c>
      <c r="B54" s="79" t="s">
        <v>313</v>
      </c>
      <c r="C54" s="79" t="s">
        <v>10</v>
      </c>
      <c r="D54" s="39" t="s">
        <v>360</v>
      </c>
      <c r="E54" s="84" t="s">
        <v>361</v>
      </c>
      <c r="F54" s="79" t="s">
        <v>135</v>
      </c>
      <c r="G54" s="79" t="s">
        <v>160</v>
      </c>
      <c r="H54" s="80" t="s">
        <v>139</v>
      </c>
      <c r="I54" s="79" t="s">
        <v>351</v>
      </c>
      <c r="J54" s="90">
        <v>9.73</v>
      </c>
      <c r="K54" s="80">
        <v>333.89</v>
      </c>
      <c r="L54" s="80" t="s">
        <v>306</v>
      </c>
      <c r="M54" s="80" t="s">
        <v>312</v>
      </c>
      <c r="N54" s="80" t="s">
        <v>273</v>
      </c>
      <c r="O54" s="80">
        <v>190.73</v>
      </c>
      <c r="P54" s="80"/>
      <c r="Q54" s="80">
        <f t="shared" si="3"/>
        <v>190.73</v>
      </c>
      <c r="R54" s="80">
        <f>-6+182.44</f>
        <v>176.44</v>
      </c>
      <c r="S54" s="80">
        <v>9.73</v>
      </c>
      <c r="T54" s="56" t="s">
        <v>142</v>
      </c>
      <c r="U54" s="56" t="s">
        <v>143</v>
      </c>
    </row>
    <row r="55" spans="1:21" ht="102">
      <c r="A55" s="77">
        <v>11</v>
      </c>
      <c r="B55" s="79" t="s">
        <v>313</v>
      </c>
      <c r="C55" s="79" t="s">
        <v>10</v>
      </c>
      <c r="D55" s="39" t="s">
        <v>366</v>
      </c>
      <c r="E55" s="84" t="s">
        <v>367</v>
      </c>
      <c r="F55" s="79" t="s">
        <v>159</v>
      </c>
      <c r="G55" s="79" t="s">
        <v>166</v>
      </c>
      <c r="H55" s="79" t="s">
        <v>166</v>
      </c>
      <c r="I55" s="79" t="s">
        <v>368</v>
      </c>
      <c r="J55" s="80">
        <v>11.1</v>
      </c>
      <c r="K55" s="80">
        <v>263.15</v>
      </c>
      <c r="L55" s="80" t="s">
        <v>306</v>
      </c>
      <c r="M55" s="80" t="s">
        <v>312</v>
      </c>
      <c r="N55" s="80" t="s">
        <v>369</v>
      </c>
      <c r="O55" s="80">
        <v>257.69</v>
      </c>
      <c r="P55" s="80"/>
      <c r="Q55" s="80">
        <f t="shared" si="3"/>
        <v>257.69</v>
      </c>
      <c r="R55" s="80">
        <v>257.15</v>
      </c>
      <c r="S55" s="80">
        <v>11.1</v>
      </c>
      <c r="T55" s="56" t="s">
        <v>142</v>
      </c>
      <c r="U55" s="56" t="s">
        <v>261</v>
      </c>
    </row>
    <row r="56" spans="1:21" ht="102">
      <c r="A56" s="77">
        <v>12</v>
      </c>
      <c r="B56" s="79" t="s">
        <v>313</v>
      </c>
      <c r="C56" s="79" t="s">
        <v>10</v>
      </c>
      <c r="D56" s="39" t="s">
        <v>370</v>
      </c>
      <c r="E56" s="84" t="s">
        <v>371</v>
      </c>
      <c r="F56" s="79" t="s">
        <v>159</v>
      </c>
      <c r="G56" s="79" t="s">
        <v>166</v>
      </c>
      <c r="H56" s="79" t="s">
        <v>166</v>
      </c>
      <c r="I56" s="79" t="s">
        <v>372</v>
      </c>
      <c r="J56" s="80">
        <v>6.1</v>
      </c>
      <c r="K56" s="80">
        <v>138.83</v>
      </c>
      <c r="L56" s="80" t="s">
        <v>306</v>
      </c>
      <c r="M56" s="80" t="s">
        <v>373</v>
      </c>
      <c r="N56" s="80" t="s">
        <v>369</v>
      </c>
      <c r="O56" s="80">
        <v>115.48</v>
      </c>
      <c r="P56" s="80"/>
      <c r="Q56" s="80">
        <f t="shared" si="3"/>
        <v>115.48</v>
      </c>
      <c r="R56" s="80">
        <v>107.9</v>
      </c>
      <c r="S56" s="80">
        <v>6.1</v>
      </c>
      <c r="T56" s="56" t="s">
        <v>142</v>
      </c>
      <c r="U56" s="56" t="s">
        <v>261</v>
      </c>
    </row>
    <row r="57" spans="1:21" ht="114.75">
      <c r="A57" s="77">
        <v>13</v>
      </c>
      <c r="B57" s="79" t="s">
        <v>313</v>
      </c>
      <c r="C57" s="79" t="s">
        <v>10</v>
      </c>
      <c r="D57" s="39" t="s">
        <v>374</v>
      </c>
      <c r="E57" s="84" t="s">
        <v>375</v>
      </c>
      <c r="F57" s="79" t="s">
        <v>159</v>
      </c>
      <c r="G57" s="79" t="s">
        <v>166</v>
      </c>
      <c r="H57" s="79" t="s">
        <v>166</v>
      </c>
      <c r="I57" s="79" t="s">
        <v>376</v>
      </c>
      <c r="J57" s="80">
        <v>4.7</v>
      </c>
      <c r="K57" s="80">
        <v>111.8</v>
      </c>
      <c r="L57" s="80" t="s">
        <v>306</v>
      </c>
      <c r="M57" s="80" t="s">
        <v>373</v>
      </c>
      <c r="N57" s="80" t="s">
        <v>369</v>
      </c>
      <c r="O57" s="80">
        <v>107.99</v>
      </c>
      <c r="P57" s="80"/>
      <c r="Q57" s="80">
        <f t="shared" si="3"/>
        <v>107.99</v>
      </c>
      <c r="R57" s="80">
        <v>103.72</v>
      </c>
      <c r="S57" s="80">
        <v>4.7</v>
      </c>
      <c r="T57" s="56" t="s">
        <v>142</v>
      </c>
      <c r="U57" s="56" t="s">
        <v>261</v>
      </c>
    </row>
    <row r="58" spans="1:21" ht="102">
      <c r="A58" s="77">
        <v>18</v>
      </c>
      <c r="B58" s="79" t="s">
        <v>313</v>
      </c>
      <c r="C58" s="79" t="s">
        <v>10</v>
      </c>
      <c r="D58" s="39" t="s">
        <v>377</v>
      </c>
      <c r="E58" s="84" t="s">
        <v>378</v>
      </c>
      <c r="F58" s="79" t="s">
        <v>159</v>
      </c>
      <c r="G58" s="79" t="s">
        <v>146</v>
      </c>
      <c r="H58" s="80" t="s">
        <v>147</v>
      </c>
      <c r="I58" s="79" t="s">
        <v>379</v>
      </c>
      <c r="J58" s="80">
        <v>12.83</v>
      </c>
      <c r="K58" s="80">
        <v>291.5</v>
      </c>
      <c r="L58" s="80" t="s">
        <v>306</v>
      </c>
      <c r="M58" s="80" t="s">
        <v>307</v>
      </c>
      <c r="N58" s="80" t="s">
        <v>380</v>
      </c>
      <c r="O58" s="80">
        <v>284.52</v>
      </c>
      <c r="P58" s="80"/>
      <c r="Q58" s="80">
        <f t="shared" si="3"/>
        <v>284.52</v>
      </c>
      <c r="R58" s="80">
        <f>274.86+0.97+28.48</f>
        <v>304.31000000000006</v>
      </c>
      <c r="S58" s="80">
        <v>12.3</v>
      </c>
      <c r="T58" s="56" t="s">
        <v>142</v>
      </c>
      <c r="U58" s="56" t="s">
        <v>261</v>
      </c>
    </row>
    <row r="59" spans="1:21" ht="114.75">
      <c r="A59" s="77">
        <v>8</v>
      </c>
      <c r="B59" s="79" t="s">
        <v>313</v>
      </c>
      <c r="C59" s="79" t="s">
        <v>10</v>
      </c>
      <c r="D59" s="39" t="s">
        <v>381</v>
      </c>
      <c r="E59" s="84" t="s">
        <v>382</v>
      </c>
      <c r="F59" s="79" t="s">
        <v>159</v>
      </c>
      <c r="G59" s="79" t="s">
        <v>160</v>
      </c>
      <c r="H59" s="80" t="s">
        <v>147</v>
      </c>
      <c r="I59" s="79" t="s">
        <v>383</v>
      </c>
      <c r="J59" s="80">
        <v>6.13</v>
      </c>
      <c r="K59" s="80">
        <v>151.94</v>
      </c>
      <c r="L59" s="80" t="s">
        <v>384</v>
      </c>
      <c r="M59" s="80" t="s">
        <v>385</v>
      </c>
      <c r="N59" s="80" t="s">
        <v>268</v>
      </c>
      <c r="O59" s="80">
        <v>165.73</v>
      </c>
      <c r="P59" s="80"/>
      <c r="Q59" s="80">
        <f t="shared" si="3"/>
        <v>165.73</v>
      </c>
      <c r="R59" s="80">
        <v>161.27</v>
      </c>
      <c r="S59" s="80">
        <v>6.13</v>
      </c>
      <c r="T59" s="56" t="s">
        <v>142</v>
      </c>
      <c r="U59" s="56" t="s">
        <v>261</v>
      </c>
    </row>
    <row r="60" spans="1:21" ht="102">
      <c r="A60" s="77">
        <v>19</v>
      </c>
      <c r="B60" s="79" t="s">
        <v>313</v>
      </c>
      <c r="C60" s="79" t="s">
        <v>10</v>
      </c>
      <c r="D60" s="39" t="s">
        <v>386</v>
      </c>
      <c r="E60" s="84" t="s">
        <v>387</v>
      </c>
      <c r="F60" s="79" t="s">
        <v>159</v>
      </c>
      <c r="G60" s="79" t="s">
        <v>146</v>
      </c>
      <c r="H60" s="80" t="s">
        <v>147</v>
      </c>
      <c r="I60" s="79" t="s">
        <v>388</v>
      </c>
      <c r="J60" s="80">
        <v>10</v>
      </c>
      <c r="K60" s="80">
        <v>219.85</v>
      </c>
      <c r="L60" s="80" t="s">
        <v>306</v>
      </c>
      <c r="M60" s="80" t="s">
        <v>307</v>
      </c>
      <c r="N60" s="80" t="s">
        <v>369</v>
      </c>
      <c r="O60" s="80">
        <v>216.73</v>
      </c>
      <c r="P60" s="80"/>
      <c r="Q60" s="80">
        <f t="shared" si="3"/>
        <v>216.73</v>
      </c>
      <c r="R60" s="80">
        <f>214.21+0.8</f>
        <v>215.01000000000002</v>
      </c>
      <c r="S60" s="80">
        <v>10</v>
      </c>
      <c r="T60" s="56" t="s">
        <v>142</v>
      </c>
      <c r="U60" s="56" t="s">
        <v>261</v>
      </c>
    </row>
    <row r="61" spans="1:21" ht="102">
      <c r="A61" s="77">
        <v>20</v>
      </c>
      <c r="B61" s="79" t="s">
        <v>389</v>
      </c>
      <c r="C61" s="79" t="s">
        <v>10</v>
      </c>
      <c r="D61" s="118" t="s">
        <v>390</v>
      </c>
      <c r="E61" s="119" t="s">
        <v>169</v>
      </c>
      <c r="F61" s="119" t="s">
        <v>391</v>
      </c>
      <c r="G61" s="119" t="s">
        <v>146</v>
      </c>
      <c r="H61" s="80" t="s">
        <v>147</v>
      </c>
      <c r="I61" s="119" t="s">
        <v>315</v>
      </c>
      <c r="J61" s="120">
        <v>2.25</v>
      </c>
      <c r="K61" s="121">
        <v>175.38</v>
      </c>
      <c r="L61" s="121" t="s">
        <v>392</v>
      </c>
      <c r="M61" s="121" t="s">
        <v>393</v>
      </c>
      <c r="N61" s="121" t="s">
        <v>268</v>
      </c>
      <c r="O61" s="121">
        <v>166.53</v>
      </c>
      <c r="P61" s="121"/>
      <c r="Q61" s="121">
        <v>166.53</v>
      </c>
      <c r="R61" s="121">
        <v>140.54</v>
      </c>
      <c r="S61" s="121">
        <v>2.25</v>
      </c>
      <c r="T61" s="122" t="s">
        <v>142</v>
      </c>
      <c r="U61" s="122" t="s">
        <v>394</v>
      </c>
    </row>
    <row r="62" spans="1:21" ht="76.5">
      <c r="A62" s="77">
        <v>14</v>
      </c>
      <c r="B62" s="79" t="s">
        <v>395</v>
      </c>
      <c r="C62" s="79" t="s">
        <v>10</v>
      </c>
      <c r="D62" s="136" t="s">
        <v>396</v>
      </c>
      <c r="E62" s="60" t="s">
        <v>137</v>
      </c>
      <c r="F62" s="60" t="s">
        <v>135</v>
      </c>
      <c r="G62" s="167" t="s">
        <v>166</v>
      </c>
      <c r="H62" s="40" t="s">
        <v>166</v>
      </c>
      <c r="I62" s="40" t="s">
        <v>368</v>
      </c>
      <c r="J62" s="40">
        <v>4.58</v>
      </c>
      <c r="K62" s="40">
        <v>228.99</v>
      </c>
      <c r="L62" s="40" t="s">
        <v>355</v>
      </c>
      <c r="M62" s="40" t="s">
        <v>356</v>
      </c>
      <c r="N62" s="40" t="s">
        <v>273</v>
      </c>
      <c r="O62" s="77"/>
      <c r="P62" s="77"/>
      <c r="Q62" s="40">
        <v>203.24</v>
      </c>
      <c r="R62" s="40">
        <v>229.21</v>
      </c>
      <c r="S62" s="40">
        <v>4.58</v>
      </c>
      <c r="T62" s="62" t="s">
        <v>397</v>
      </c>
      <c r="U62" s="77"/>
    </row>
    <row r="63" spans="1:21" ht="63.75">
      <c r="A63" s="77">
        <v>15</v>
      </c>
      <c r="B63" s="79" t="s">
        <v>395</v>
      </c>
      <c r="C63" s="79" t="s">
        <v>10</v>
      </c>
      <c r="D63" s="136" t="s">
        <v>401</v>
      </c>
      <c r="E63" s="60" t="s">
        <v>153</v>
      </c>
      <c r="F63" s="60" t="s">
        <v>135</v>
      </c>
      <c r="G63" s="167" t="s">
        <v>166</v>
      </c>
      <c r="H63" s="40" t="s">
        <v>166</v>
      </c>
      <c r="I63" s="40" t="s">
        <v>402</v>
      </c>
      <c r="J63" s="40">
        <v>9.45</v>
      </c>
      <c r="K63" s="40">
        <v>429.08</v>
      </c>
      <c r="L63" s="40" t="s">
        <v>403</v>
      </c>
      <c r="M63" s="40" t="s">
        <v>404</v>
      </c>
      <c r="N63" s="40" t="s">
        <v>405</v>
      </c>
      <c r="O63" s="77"/>
      <c r="P63" s="77"/>
      <c r="Q63" s="40">
        <v>375.73</v>
      </c>
      <c r="R63" s="40">
        <v>316.59</v>
      </c>
      <c r="S63" s="40">
        <v>9.45</v>
      </c>
      <c r="T63" s="62" t="s">
        <v>397</v>
      </c>
      <c r="U63" s="77"/>
    </row>
    <row r="64" spans="1:21" ht="89.25">
      <c r="A64" s="77">
        <v>16</v>
      </c>
      <c r="B64" s="79" t="s">
        <v>415</v>
      </c>
      <c r="C64" s="79" t="s">
        <v>10</v>
      </c>
      <c r="D64" s="64" t="s">
        <v>416</v>
      </c>
      <c r="E64" s="60" t="s">
        <v>137</v>
      </c>
      <c r="F64" s="60" t="s">
        <v>159</v>
      </c>
      <c r="G64" s="60" t="s">
        <v>166</v>
      </c>
      <c r="H64" s="41" t="s">
        <v>166</v>
      </c>
      <c r="I64" s="41" t="s">
        <v>368</v>
      </c>
      <c r="J64" s="40">
        <v>15.83</v>
      </c>
      <c r="K64" s="40">
        <v>638.48</v>
      </c>
      <c r="L64" s="63" t="s">
        <v>417</v>
      </c>
      <c r="M64" s="63" t="s">
        <v>418</v>
      </c>
      <c r="N64" s="63" t="s">
        <v>294</v>
      </c>
      <c r="O64" s="77"/>
      <c r="P64" s="77"/>
      <c r="Q64" s="78">
        <v>616.29</v>
      </c>
      <c r="R64" s="78">
        <v>616.15</v>
      </c>
      <c r="S64" s="78">
        <v>15.83</v>
      </c>
      <c r="T64" s="65" t="s">
        <v>397</v>
      </c>
      <c r="U64" s="63" t="s">
        <v>141</v>
      </c>
    </row>
    <row r="65" spans="1:21" ht="76.5">
      <c r="A65" s="77">
        <v>5</v>
      </c>
      <c r="B65" s="79" t="s">
        <v>415</v>
      </c>
      <c r="C65" s="79" t="s">
        <v>10</v>
      </c>
      <c r="D65" s="64" t="s">
        <v>433</v>
      </c>
      <c r="E65" s="60" t="s">
        <v>169</v>
      </c>
      <c r="F65" s="60" t="s">
        <v>159</v>
      </c>
      <c r="G65" s="60" t="s">
        <v>10</v>
      </c>
      <c r="H65" s="41" t="s">
        <v>147</v>
      </c>
      <c r="I65" s="41" t="s">
        <v>434</v>
      </c>
      <c r="J65" s="40">
        <v>5.64</v>
      </c>
      <c r="K65" s="40">
        <v>223.89</v>
      </c>
      <c r="L65" s="63" t="s">
        <v>435</v>
      </c>
      <c r="M65" s="63" t="s">
        <v>436</v>
      </c>
      <c r="N65" s="63" t="s">
        <v>437</v>
      </c>
      <c r="O65" s="77"/>
      <c r="P65" s="77"/>
      <c r="Q65" s="78">
        <v>223.83</v>
      </c>
      <c r="R65" s="78">
        <v>181.8</v>
      </c>
      <c r="S65" s="78">
        <v>5.64</v>
      </c>
      <c r="T65" s="65" t="s">
        <v>397</v>
      </c>
      <c r="U65" s="63" t="s">
        <v>141</v>
      </c>
    </row>
    <row r="66" spans="1:21" ht="85.5">
      <c r="A66" s="77">
        <v>1</v>
      </c>
      <c r="B66" s="79" t="s">
        <v>135</v>
      </c>
      <c r="C66" s="77" t="s">
        <v>12</v>
      </c>
      <c r="D66" s="36" t="s">
        <v>490</v>
      </c>
      <c r="E66" s="77" t="s">
        <v>491</v>
      </c>
      <c r="F66" s="79" t="s">
        <v>138</v>
      </c>
      <c r="G66" s="44" t="s">
        <v>492</v>
      </c>
      <c r="H66" s="44" t="s">
        <v>492</v>
      </c>
      <c r="I66" s="90" t="s">
        <v>141</v>
      </c>
      <c r="J66" s="86">
        <v>6</v>
      </c>
      <c r="K66" s="86">
        <v>146.53</v>
      </c>
      <c r="L66" s="45" t="s">
        <v>493</v>
      </c>
      <c r="M66" s="45" t="s">
        <v>494</v>
      </c>
      <c r="N66" s="45" t="s">
        <v>495</v>
      </c>
      <c r="O66" s="86">
        <v>146.04</v>
      </c>
      <c r="P66" s="77"/>
      <c r="Q66" s="77"/>
      <c r="R66" s="86">
        <v>146.5</v>
      </c>
      <c r="S66" s="86">
        <v>6</v>
      </c>
      <c r="T66" s="85" t="s">
        <v>142</v>
      </c>
      <c r="U66" s="83" t="s">
        <v>143</v>
      </c>
    </row>
    <row r="67" spans="1:21" ht="85.5">
      <c r="A67" s="77">
        <v>2</v>
      </c>
      <c r="B67" s="79" t="s">
        <v>135</v>
      </c>
      <c r="C67" s="77" t="s">
        <v>12</v>
      </c>
      <c r="D67" s="36" t="s">
        <v>496</v>
      </c>
      <c r="E67" s="181" t="s">
        <v>497</v>
      </c>
      <c r="F67" s="79" t="s">
        <v>138</v>
      </c>
      <c r="G67" s="44" t="s">
        <v>492</v>
      </c>
      <c r="H67" s="44" t="s">
        <v>492</v>
      </c>
      <c r="I67" s="90" t="s">
        <v>141</v>
      </c>
      <c r="J67" s="86">
        <v>4</v>
      </c>
      <c r="K67" s="194">
        <v>146.17</v>
      </c>
      <c r="L67" s="206" t="s">
        <v>493</v>
      </c>
      <c r="M67" s="206" t="s">
        <v>494</v>
      </c>
      <c r="N67" s="206" t="s">
        <v>495</v>
      </c>
      <c r="O67" s="194">
        <v>145.72</v>
      </c>
      <c r="P67" s="77"/>
      <c r="Q67" s="77"/>
      <c r="R67" s="194">
        <v>137</v>
      </c>
      <c r="S67" s="86">
        <v>4</v>
      </c>
      <c r="T67" s="85" t="s">
        <v>142</v>
      </c>
      <c r="U67" s="83" t="s">
        <v>143</v>
      </c>
    </row>
    <row r="68" spans="1:21" ht="128.25">
      <c r="A68" s="77">
        <v>3</v>
      </c>
      <c r="B68" s="79" t="s">
        <v>135</v>
      </c>
      <c r="C68" s="77" t="s">
        <v>12</v>
      </c>
      <c r="D68" s="36" t="s">
        <v>498</v>
      </c>
      <c r="E68" s="181"/>
      <c r="F68" s="79" t="s">
        <v>138</v>
      </c>
      <c r="G68" s="44" t="s">
        <v>492</v>
      </c>
      <c r="H68" s="44" t="s">
        <v>492</v>
      </c>
      <c r="I68" s="90" t="s">
        <v>141</v>
      </c>
      <c r="J68" s="86">
        <v>2</v>
      </c>
      <c r="K68" s="194"/>
      <c r="L68" s="199"/>
      <c r="M68" s="199"/>
      <c r="N68" s="199"/>
      <c r="O68" s="194"/>
      <c r="P68" s="77"/>
      <c r="Q68" s="77"/>
      <c r="R68" s="194"/>
      <c r="S68" s="86">
        <v>2</v>
      </c>
      <c r="T68" s="85" t="s">
        <v>142</v>
      </c>
      <c r="U68" s="83" t="s">
        <v>143</v>
      </c>
    </row>
    <row r="69" spans="1:21" ht="128.25">
      <c r="A69" s="77">
        <v>4</v>
      </c>
      <c r="B69" s="79" t="s">
        <v>135</v>
      </c>
      <c r="C69" s="77" t="s">
        <v>12</v>
      </c>
      <c r="D69" s="36" t="s">
        <v>499</v>
      </c>
      <c r="E69" s="77" t="s">
        <v>500</v>
      </c>
      <c r="F69" s="79" t="s">
        <v>138</v>
      </c>
      <c r="G69" s="44" t="s">
        <v>492</v>
      </c>
      <c r="H69" s="44" t="s">
        <v>492</v>
      </c>
      <c r="I69" s="90" t="s">
        <v>141</v>
      </c>
      <c r="J69" s="86">
        <v>8</v>
      </c>
      <c r="K69" s="86">
        <v>195.92</v>
      </c>
      <c r="L69" s="45" t="s">
        <v>493</v>
      </c>
      <c r="M69" s="45" t="s">
        <v>494</v>
      </c>
      <c r="N69" s="45" t="s">
        <v>495</v>
      </c>
      <c r="O69" s="86">
        <v>192.19</v>
      </c>
      <c r="P69" s="77"/>
      <c r="Q69" s="77"/>
      <c r="R69" s="86">
        <v>176.76</v>
      </c>
      <c r="S69" s="86">
        <v>8</v>
      </c>
      <c r="T69" s="85" t="s">
        <v>142</v>
      </c>
      <c r="U69" s="83" t="s">
        <v>143</v>
      </c>
    </row>
    <row r="70" spans="1:21" ht="85.5">
      <c r="A70" s="77">
        <v>1</v>
      </c>
      <c r="B70" s="79" t="s">
        <v>157</v>
      </c>
      <c r="C70" s="77" t="s">
        <v>12</v>
      </c>
      <c r="D70" s="46" t="s">
        <v>501</v>
      </c>
      <c r="E70" s="84" t="s">
        <v>491</v>
      </c>
      <c r="F70" s="79" t="s">
        <v>159</v>
      </c>
      <c r="G70" s="47" t="s">
        <v>12</v>
      </c>
      <c r="H70" s="47" t="s">
        <v>12</v>
      </c>
      <c r="I70" s="47"/>
      <c r="J70" s="78">
        <v>7</v>
      </c>
      <c r="K70" s="78">
        <v>191</v>
      </c>
      <c r="L70" s="48"/>
      <c r="M70" s="48"/>
      <c r="N70" s="87" t="s">
        <v>502</v>
      </c>
      <c r="O70" s="78"/>
      <c r="P70" s="78"/>
      <c r="Q70" s="78"/>
      <c r="R70" s="78">
        <v>165.62</v>
      </c>
      <c r="S70" s="78">
        <v>7</v>
      </c>
      <c r="T70" s="49" t="s">
        <v>142</v>
      </c>
      <c r="U70" s="83" t="s">
        <v>143</v>
      </c>
    </row>
    <row r="71" spans="1:21" ht="71.25">
      <c r="A71" s="77">
        <v>2</v>
      </c>
      <c r="B71" s="79" t="s">
        <v>157</v>
      </c>
      <c r="C71" s="77" t="s">
        <v>12</v>
      </c>
      <c r="D71" s="46" t="s">
        <v>503</v>
      </c>
      <c r="E71" s="204" t="s">
        <v>497</v>
      </c>
      <c r="F71" s="79" t="s">
        <v>159</v>
      </c>
      <c r="G71" s="47" t="s">
        <v>12</v>
      </c>
      <c r="H71" s="47" t="s">
        <v>12</v>
      </c>
      <c r="I71" s="47"/>
      <c r="J71" s="78">
        <v>3</v>
      </c>
      <c r="K71" s="192">
        <v>150</v>
      </c>
      <c r="L71" s="48"/>
      <c r="M71" s="48"/>
      <c r="N71" s="193" t="s">
        <v>504</v>
      </c>
      <c r="O71" s="78"/>
      <c r="P71" s="78"/>
      <c r="Q71" s="78"/>
      <c r="R71" s="50">
        <v>45.13</v>
      </c>
      <c r="S71" s="78">
        <v>3</v>
      </c>
      <c r="T71" s="49" t="s">
        <v>142</v>
      </c>
      <c r="U71" s="83" t="s">
        <v>143</v>
      </c>
    </row>
    <row r="72" spans="1:21" ht="71.25">
      <c r="A72" s="77">
        <v>3</v>
      </c>
      <c r="B72" s="79" t="s">
        <v>157</v>
      </c>
      <c r="C72" s="77" t="s">
        <v>12</v>
      </c>
      <c r="D72" s="46" t="s">
        <v>505</v>
      </c>
      <c r="E72" s="204"/>
      <c r="F72" s="79" t="s">
        <v>159</v>
      </c>
      <c r="G72" s="47" t="s">
        <v>12</v>
      </c>
      <c r="H72" s="47" t="s">
        <v>12</v>
      </c>
      <c r="I72" s="47"/>
      <c r="J72" s="78">
        <v>2</v>
      </c>
      <c r="K72" s="192"/>
      <c r="L72" s="48"/>
      <c r="M72" s="48"/>
      <c r="N72" s="193"/>
      <c r="O72" s="78"/>
      <c r="P72" s="78"/>
      <c r="Q72" s="78"/>
      <c r="R72" s="50">
        <v>42.69</v>
      </c>
      <c r="S72" s="78">
        <v>2</v>
      </c>
      <c r="T72" s="49" t="s">
        <v>142</v>
      </c>
      <c r="U72" s="83" t="s">
        <v>143</v>
      </c>
    </row>
    <row r="73" spans="1:21" ht="99.75">
      <c r="A73" s="77">
        <v>5</v>
      </c>
      <c r="B73" s="79" t="s">
        <v>157</v>
      </c>
      <c r="C73" s="77" t="s">
        <v>12</v>
      </c>
      <c r="D73" s="46" t="s">
        <v>506</v>
      </c>
      <c r="E73" s="84" t="s">
        <v>500</v>
      </c>
      <c r="F73" s="79" t="s">
        <v>159</v>
      </c>
      <c r="G73" s="47" t="s">
        <v>492</v>
      </c>
      <c r="H73" s="47" t="s">
        <v>492</v>
      </c>
      <c r="I73" s="47"/>
      <c r="J73" s="78">
        <v>8</v>
      </c>
      <c r="K73" s="78">
        <v>188.2</v>
      </c>
      <c r="L73" s="48"/>
      <c r="M73" s="48"/>
      <c r="N73" s="87" t="s">
        <v>507</v>
      </c>
      <c r="O73" s="78"/>
      <c r="P73" s="78"/>
      <c r="Q73" s="78"/>
      <c r="R73" s="78">
        <f>67.5+212.33</f>
        <v>279.83000000000004</v>
      </c>
      <c r="S73" s="78">
        <v>8</v>
      </c>
      <c r="T73" s="49" t="s">
        <v>142</v>
      </c>
      <c r="U73" s="83" t="s">
        <v>143</v>
      </c>
    </row>
    <row r="74" spans="1:21" ht="71.25">
      <c r="A74" s="77">
        <v>6</v>
      </c>
      <c r="B74" s="79" t="s">
        <v>157</v>
      </c>
      <c r="C74" s="77" t="s">
        <v>12</v>
      </c>
      <c r="D74" s="46" t="s">
        <v>508</v>
      </c>
      <c r="E74" s="84" t="s">
        <v>509</v>
      </c>
      <c r="F74" s="79" t="s">
        <v>159</v>
      </c>
      <c r="G74" s="47" t="s">
        <v>492</v>
      </c>
      <c r="H74" s="47" t="s">
        <v>492</v>
      </c>
      <c r="I74" s="47"/>
      <c r="J74" s="78">
        <v>5</v>
      </c>
      <c r="K74" s="78">
        <v>174</v>
      </c>
      <c r="L74" s="48"/>
      <c r="M74" s="48"/>
      <c r="N74" s="87" t="s">
        <v>510</v>
      </c>
      <c r="O74" s="78"/>
      <c r="P74" s="78"/>
      <c r="Q74" s="78"/>
      <c r="R74" s="50">
        <f>2.32+93.75+1.33</f>
        <v>97.39999999999999</v>
      </c>
      <c r="S74" s="78">
        <v>5</v>
      </c>
      <c r="T74" s="49" t="s">
        <v>142</v>
      </c>
      <c r="U74" s="83" t="s">
        <v>143</v>
      </c>
    </row>
    <row r="75" spans="1:21" ht="71.25">
      <c r="A75" s="77">
        <v>7</v>
      </c>
      <c r="B75" s="79" t="s">
        <v>157</v>
      </c>
      <c r="C75" s="77" t="s">
        <v>12</v>
      </c>
      <c r="D75" s="46" t="s">
        <v>511</v>
      </c>
      <c r="E75" s="84" t="s">
        <v>512</v>
      </c>
      <c r="F75" s="79" t="s">
        <v>159</v>
      </c>
      <c r="G75" s="47" t="s">
        <v>492</v>
      </c>
      <c r="H75" s="47" t="s">
        <v>492</v>
      </c>
      <c r="I75" s="47"/>
      <c r="J75" s="78">
        <v>7</v>
      </c>
      <c r="K75" s="78">
        <v>214</v>
      </c>
      <c r="L75" s="48"/>
      <c r="M75" s="48"/>
      <c r="N75" s="87" t="s">
        <v>513</v>
      </c>
      <c r="O75" s="78"/>
      <c r="P75" s="78"/>
      <c r="Q75" s="78"/>
      <c r="R75" s="50">
        <f>247.28+29.41</f>
        <v>276.69</v>
      </c>
      <c r="S75" s="78">
        <v>7</v>
      </c>
      <c r="T75" s="49" t="s">
        <v>142</v>
      </c>
      <c r="U75" s="83" t="s">
        <v>143</v>
      </c>
    </row>
    <row r="76" spans="1:21" ht="105">
      <c r="A76" s="77">
        <v>8</v>
      </c>
      <c r="B76" s="79" t="s">
        <v>176</v>
      </c>
      <c r="C76" s="77" t="s">
        <v>12</v>
      </c>
      <c r="D76" s="37" t="s">
        <v>514</v>
      </c>
      <c r="E76" s="84" t="s">
        <v>515</v>
      </c>
      <c r="F76" s="79" t="s">
        <v>159</v>
      </c>
      <c r="G76" s="79" t="s">
        <v>492</v>
      </c>
      <c r="H76" s="79" t="s">
        <v>492</v>
      </c>
      <c r="I76" s="79"/>
      <c r="J76" s="51">
        <v>7</v>
      </c>
      <c r="K76" s="51">
        <v>164.3</v>
      </c>
      <c r="L76" s="80" t="s">
        <v>516</v>
      </c>
      <c r="M76" s="80" t="s">
        <v>517</v>
      </c>
      <c r="N76" s="80" t="s">
        <v>518</v>
      </c>
      <c r="O76" s="51">
        <v>128</v>
      </c>
      <c r="P76" s="51"/>
      <c r="Q76" s="51">
        <f aca="true" t="shared" si="4" ref="Q76:Q83">SUM(O76:P76)</f>
        <v>128</v>
      </c>
      <c r="R76" s="50">
        <f>-44.06+176.62+67</f>
        <v>199.56</v>
      </c>
      <c r="S76" s="51">
        <v>6.71</v>
      </c>
      <c r="T76" s="83" t="s">
        <v>142</v>
      </c>
      <c r="U76" s="83" t="s">
        <v>143</v>
      </c>
    </row>
    <row r="77" spans="1:21" ht="85.5">
      <c r="A77" s="195">
        <v>9</v>
      </c>
      <c r="B77" s="212" t="s">
        <v>185</v>
      </c>
      <c r="C77" s="77" t="s">
        <v>12</v>
      </c>
      <c r="D77" s="36" t="s">
        <v>519</v>
      </c>
      <c r="E77" s="204" t="s">
        <v>497</v>
      </c>
      <c r="F77" s="79" t="s">
        <v>135</v>
      </c>
      <c r="G77" s="79" t="s">
        <v>492</v>
      </c>
      <c r="H77" s="79" t="s">
        <v>492</v>
      </c>
      <c r="I77" s="183" t="s">
        <v>520</v>
      </c>
      <c r="J77" s="51">
        <v>10</v>
      </c>
      <c r="K77" s="51">
        <v>141.97</v>
      </c>
      <c r="L77" s="88" t="s">
        <v>521</v>
      </c>
      <c r="M77" s="80" t="s">
        <v>522</v>
      </c>
      <c r="N77" s="187" t="s">
        <v>523</v>
      </c>
      <c r="O77" s="51">
        <v>164.21</v>
      </c>
      <c r="P77" s="51"/>
      <c r="Q77" s="51">
        <f t="shared" si="4"/>
        <v>164.21</v>
      </c>
      <c r="R77" s="188">
        <v>204.47</v>
      </c>
      <c r="S77" s="51">
        <v>10</v>
      </c>
      <c r="T77" s="83" t="s">
        <v>142</v>
      </c>
      <c r="U77" s="215" t="s">
        <v>143</v>
      </c>
    </row>
    <row r="78" spans="1:21" ht="114">
      <c r="A78" s="196"/>
      <c r="B78" s="213"/>
      <c r="C78" s="77" t="s">
        <v>12</v>
      </c>
      <c r="D78" s="36" t="s">
        <v>524</v>
      </c>
      <c r="E78" s="204"/>
      <c r="F78" s="79" t="s">
        <v>135</v>
      </c>
      <c r="G78" s="79" t="s">
        <v>492</v>
      </c>
      <c r="H78" s="79" t="s">
        <v>492</v>
      </c>
      <c r="I78" s="183"/>
      <c r="J78" s="51" t="s">
        <v>141</v>
      </c>
      <c r="K78" s="51">
        <v>0</v>
      </c>
      <c r="L78" s="80" t="s">
        <v>525</v>
      </c>
      <c r="M78" s="80" t="s">
        <v>526</v>
      </c>
      <c r="N78" s="214"/>
      <c r="O78" s="51">
        <v>72.51</v>
      </c>
      <c r="P78" s="51"/>
      <c r="Q78" s="51">
        <f t="shared" si="4"/>
        <v>72.51</v>
      </c>
      <c r="R78" s="190"/>
      <c r="S78" s="51" t="s">
        <v>141</v>
      </c>
      <c r="T78" s="83" t="s">
        <v>142</v>
      </c>
      <c r="U78" s="215"/>
    </row>
    <row r="79" spans="1:21" ht="99.75">
      <c r="A79" s="77">
        <v>10</v>
      </c>
      <c r="B79" s="79" t="s">
        <v>185</v>
      </c>
      <c r="C79" s="77" t="s">
        <v>12</v>
      </c>
      <c r="D79" s="36" t="s">
        <v>527</v>
      </c>
      <c r="E79" s="84" t="s">
        <v>500</v>
      </c>
      <c r="F79" s="79" t="s">
        <v>135</v>
      </c>
      <c r="G79" s="79" t="s">
        <v>492</v>
      </c>
      <c r="H79" s="79" t="s">
        <v>492</v>
      </c>
      <c r="I79" s="79" t="s">
        <v>520</v>
      </c>
      <c r="J79" s="51">
        <v>8</v>
      </c>
      <c r="K79" s="51">
        <v>125.68</v>
      </c>
      <c r="L79" s="88" t="s">
        <v>528</v>
      </c>
      <c r="M79" s="80" t="s">
        <v>529</v>
      </c>
      <c r="N79" s="80" t="s">
        <v>530</v>
      </c>
      <c r="O79" s="51">
        <v>153.54</v>
      </c>
      <c r="P79" s="51">
        <v>49.96</v>
      </c>
      <c r="Q79" s="51">
        <f t="shared" si="4"/>
        <v>203.5</v>
      </c>
      <c r="R79" s="51">
        <v>201.31</v>
      </c>
      <c r="S79" s="51">
        <v>8</v>
      </c>
      <c r="T79" s="83" t="s">
        <v>142</v>
      </c>
      <c r="U79" s="83" t="s">
        <v>143</v>
      </c>
    </row>
    <row r="80" spans="1:21" ht="85.5">
      <c r="A80" s="77">
        <v>4</v>
      </c>
      <c r="B80" s="79" t="s">
        <v>185</v>
      </c>
      <c r="C80" s="77" t="s">
        <v>12</v>
      </c>
      <c r="D80" s="36" t="s">
        <v>531</v>
      </c>
      <c r="E80" s="84" t="s">
        <v>515</v>
      </c>
      <c r="F80" s="79" t="s">
        <v>135</v>
      </c>
      <c r="G80" s="79" t="s">
        <v>12</v>
      </c>
      <c r="H80" s="79" t="s">
        <v>12</v>
      </c>
      <c r="I80" s="79" t="s">
        <v>532</v>
      </c>
      <c r="J80" s="51">
        <v>14</v>
      </c>
      <c r="K80" s="51">
        <v>204.94</v>
      </c>
      <c r="L80" s="80" t="s">
        <v>199</v>
      </c>
      <c r="M80" s="80" t="s">
        <v>200</v>
      </c>
      <c r="N80" s="80" t="s">
        <v>533</v>
      </c>
      <c r="O80" s="51">
        <v>439.45</v>
      </c>
      <c r="P80" s="51"/>
      <c r="Q80" s="51">
        <f t="shared" si="4"/>
        <v>439.45</v>
      </c>
      <c r="R80" s="51">
        <v>389.4</v>
      </c>
      <c r="S80" s="51">
        <v>14</v>
      </c>
      <c r="T80" s="83" t="s">
        <v>142</v>
      </c>
      <c r="U80" s="83" t="s">
        <v>143</v>
      </c>
    </row>
    <row r="81" spans="1:21" ht="90">
      <c r="A81" s="77">
        <v>11</v>
      </c>
      <c r="B81" s="79" t="s">
        <v>202</v>
      </c>
      <c r="C81" s="77" t="s">
        <v>12</v>
      </c>
      <c r="D81" s="37" t="s">
        <v>534</v>
      </c>
      <c r="E81" s="84" t="s">
        <v>491</v>
      </c>
      <c r="F81" s="79" t="s">
        <v>135</v>
      </c>
      <c r="G81" s="79" t="s">
        <v>492</v>
      </c>
      <c r="H81" s="79" t="s">
        <v>492</v>
      </c>
      <c r="I81" s="79" t="s">
        <v>213</v>
      </c>
      <c r="J81" s="80">
        <v>19.19</v>
      </c>
      <c r="K81" s="80">
        <v>314.57</v>
      </c>
      <c r="L81" s="80" t="s">
        <v>535</v>
      </c>
      <c r="M81" s="80" t="s">
        <v>230</v>
      </c>
      <c r="N81" s="80" t="s">
        <v>216</v>
      </c>
      <c r="O81" s="80">
        <v>297.74</v>
      </c>
      <c r="P81" s="80">
        <v>63.58</v>
      </c>
      <c r="Q81" s="80">
        <f t="shared" si="4"/>
        <v>361.32</v>
      </c>
      <c r="R81" s="80">
        <f>330.5+86.47</f>
        <v>416.97</v>
      </c>
      <c r="S81" s="80">
        <v>19.19</v>
      </c>
      <c r="T81" s="85" t="s">
        <v>142</v>
      </c>
      <c r="U81" s="85" t="s">
        <v>143</v>
      </c>
    </row>
    <row r="82" spans="1:21" ht="105">
      <c r="A82" s="77">
        <v>5</v>
      </c>
      <c r="B82" s="79" t="s">
        <v>202</v>
      </c>
      <c r="C82" s="77" t="s">
        <v>12</v>
      </c>
      <c r="D82" s="37" t="s">
        <v>536</v>
      </c>
      <c r="E82" s="84" t="s">
        <v>497</v>
      </c>
      <c r="F82" s="79" t="s">
        <v>135</v>
      </c>
      <c r="G82" s="79" t="s">
        <v>12</v>
      </c>
      <c r="H82" s="79" t="s">
        <v>12</v>
      </c>
      <c r="I82" s="79" t="s">
        <v>532</v>
      </c>
      <c r="J82" s="80">
        <v>13.66</v>
      </c>
      <c r="K82" s="80">
        <v>219.62</v>
      </c>
      <c r="L82" s="80" t="s">
        <v>537</v>
      </c>
      <c r="M82" s="80" t="s">
        <v>538</v>
      </c>
      <c r="N82" s="80" t="s">
        <v>242</v>
      </c>
      <c r="O82" s="80">
        <v>215.16</v>
      </c>
      <c r="P82" s="80">
        <v>57.28</v>
      </c>
      <c r="Q82" s="80">
        <f t="shared" si="4"/>
        <v>272.44</v>
      </c>
      <c r="R82" s="80">
        <f>269.43+1.54</f>
        <v>270.97</v>
      </c>
      <c r="S82" s="80">
        <v>13.66</v>
      </c>
      <c r="T82" s="85" t="s">
        <v>142</v>
      </c>
      <c r="U82" s="85" t="s">
        <v>143</v>
      </c>
    </row>
    <row r="83" spans="1:21" ht="60">
      <c r="A83" s="77">
        <v>6</v>
      </c>
      <c r="B83" s="79" t="s">
        <v>202</v>
      </c>
      <c r="C83" s="77" t="s">
        <v>12</v>
      </c>
      <c r="D83" s="37" t="s">
        <v>539</v>
      </c>
      <c r="E83" s="84" t="s">
        <v>500</v>
      </c>
      <c r="F83" s="79" t="s">
        <v>135</v>
      </c>
      <c r="G83" s="79" t="s">
        <v>12</v>
      </c>
      <c r="H83" s="79" t="s">
        <v>12</v>
      </c>
      <c r="I83" s="79" t="s">
        <v>540</v>
      </c>
      <c r="J83" s="80">
        <v>4.62</v>
      </c>
      <c r="K83" s="80">
        <v>79.64</v>
      </c>
      <c r="L83" s="80" t="s">
        <v>541</v>
      </c>
      <c r="M83" s="80" t="s">
        <v>542</v>
      </c>
      <c r="N83" s="80" t="s">
        <v>543</v>
      </c>
      <c r="O83" s="80">
        <v>76.59</v>
      </c>
      <c r="P83" s="80">
        <v>17.1</v>
      </c>
      <c r="Q83" s="80">
        <f t="shared" si="4"/>
        <v>93.69</v>
      </c>
      <c r="R83" s="80">
        <v>90.49</v>
      </c>
      <c r="S83" s="80">
        <v>4.62</v>
      </c>
      <c r="T83" s="85" t="s">
        <v>142</v>
      </c>
      <c r="U83" s="85" t="s">
        <v>544</v>
      </c>
    </row>
    <row r="84" spans="1:21" ht="128.25">
      <c r="A84" s="77">
        <v>7</v>
      </c>
      <c r="B84" s="79" t="s">
        <v>221</v>
      </c>
      <c r="C84" s="77" t="s">
        <v>12</v>
      </c>
      <c r="D84" s="36" t="s">
        <v>545</v>
      </c>
      <c r="E84" s="51" t="s">
        <v>491</v>
      </c>
      <c r="F84" s="79" t="s">
        <v>135</v>
      </c>
      <c r="G84" s="52" t="s">
        <v>12</v>
      </c>
      <c r="H84" s="52" t="s">
        <v>12</v>
      </c>
      <c r="I84" s="183" t="s">
        <v>540</v>
      </c>
      <c r="J84" s="80">
        <v>6.66</v>
      </c>
      <c r="K84" s="80">
        <v>144.86</v>
      </c>
      <c r="L84" s="187" t="s">
        <v>546</v>
      </c>
      <c r="M84" s="187" t="s">
        <v>201</v>
      </c>
      <c r="N84" s="80" t="s">
        <v>230</v>
      </c>
      <c r="O84" s="80">
        <v>142.61</v>
      </c>
      <c r="P84" s="80"/>
      <c r="Q84" s="80">
        <f aca="true" t="shared" si="5" ref="Q84:Q97">SUM(O84:P84)</f>
        <v>142.61</v>
      </c>
      <c r="R84" s="80">
        <v>194.51</v>
      </c>
      <c r="S84" s="80">
        <v>6.66</v>
      </c>
      <c r="T84" s="83" t="s">
        <v>142</v>
      </c>
      <c r="U84" s="205" t="s">
        <v>143</v>
      </c>
    </row>
    <row r="85" spans="1:21" ht="242.25">
      <c r="A85" s="77">
        <v>8</v>
      </c>
      <c r="B85" s="79" t="s">
        <v>221</v>
      </c>
      <c r="C85" s="77" t="s">
        <v>12</v>
      </c>
      <c r="D85" s="36" t="s">
        <v>547</v>
      </c>
      <c r="E85" s="51" t="s">
        <v>497</v>
      </c>
      <c r="F85" s="79" t="s">
        <v>175</v>
      </c>
      <c r="G85" s="52" t="s">
        <v>12</v>
      </c>
      <c r="H85" s="52" t="s">
        <v>12</v>
      </c>
      <c r="I85" s="183"/>
      <c r="J85" s="80" t="s">
        <v>141</v>
      </c>
      <c r="K85" s="80">
        <v>118.99</v>
      </c>
      <c r="L85" s="187"/>
      <c r="M85" s="187"/>
      <c r="N85" s="80" t="s">
        <v>230</v>
      </c>
      <c r="O85" s="80">
        <v>117.15</v>
      </c>
      <c r="P85" s="80"/>
      <c r="Q85" s="80">
        <f t="shared" si="5"/>
        <v>117.15</v>
      </c>
      <c r="R85" s="80">
        <v>0</v>
      </c>
      <c r="S85" s="80" t="s">
        <v>141</v>
      </c>
      <c r="T85" s="83" t="s">
        <v>142</v>
      </c>
      <c r="U85" s="205"/>
    </row>
    <row r="86" spans="1:21" ht="99.75">
      <c r="A86" s="77">
        <v>9</v>
      </c>
      <c r="B86" s="79" t="s">
        <v>221</v>
      </c>
      <c r="C86" s="77" t="s">
        <v>12</v>
      </c>
      <c r="D86" s="36" t="s">
        <v>548</v>
      </c>
      <c r="E86" s="51" t="s">
        <v>500</v>
      </c>
      <c r="F86" s="79" t="s">
        <v>135</v>
      </c>
      <c r="G86" s="52" t="s">
        <v>12</v>
      </c>
      <c r="H86" s="52" t="s">
        <v>12</v>
      </c>
      <c r="I86" s="183" t="s">
        <v>549</v>
      </c>
      <c r="J86" s="80">
        <v>7.79</v>
      </c>
      <c r="K86" s="80">
        <v>174.27</v>
      </c>
      <c r="L86" s="187" t="s">
        <v>199</v>
      </c>
      <c r="M86" s="187" t="s">
        <v>230</v>
      </c>
      <c r="N86" s="80" t="s">
        <v>308</v>
      </c>
      <c r="O86" s="80">
        <v>202.12</v>
      </c>
      <c r="P86" s="80">
        <v>21.89</v>
      </c>
      <c r="Q86" s="80">
        <f t="shared" si="5"/>
        <v>224.01</v>
      </c>
      <c r="R86" s="80">
        <v>334.69</v>
      </c>
      <c r="S86" s="80">
        <v>7.79</v>
      </c>
      <c r="T86" s="83" t="s">
        <v>142</v>
      </c>
      <c r="U86" s="85" t="s">
        <v>143</v>
      </c>
    </row>
    <row r="87" spans="1:21" ht="199.5">
      <c r="A87" s="77">
        <v>10</v>
      </c>
      <c r="B87" s="79" t="s">
        <v>221</v>
      </c>
      <c r="C87" s="77" t="s">
        <v>12</v>
      </c>
      <c r="D87" s="36" t="s">
        <v>550</v>
      </c>
      <c r="E87" s="51" t="s">
        <v>515</v>
      </c>
      <c r="F87" s="79" t="s">
        <v>175</v>
      </c>
      <c r="G87" s="52" t="s">
        <v>12</v>
      </c>
      <c r="H87" s="52" t="s">
        <v>12</v>
      </c>
      <c r="I87" s="183"/>
      <c r="J87" s="80" t="s">
        <v>141</v>
      </c>
      <c r="K87" s="80">
        <v>88.1</v>
      </c>
      <c r="L87" s="187"/>
      <c r="M87" s="187"/>
      <c r="N87" s="80" t="s">
        <v>141</v>
      </c>
      <c r="O87" s="80">
        <v>102.18</v>
      </c>
      <c r="P87" s="80"/>
      <c r="Q87" s="80">
        <f t="shared" si="5"/>
        <v>102.18</v>
      </c>
      <c r="R87" s="80">
        <v>0.7</v>
      </c>
      <c r="S87" s="80" t="s">
        <v>141</v>
      </c>
      <c r="T87" s="92" t="s">
        <v>142</v>
      </c>
      <c r="U87" s="85" t="s">
        <v>143</v>
      </c>
    </row>
    <row r="88" spans="1:21" ht="242.25">
      <c r="A88" s="77">
        <v>11</v>
      </c>
      <c r="B88" s="79" t="s">
        <v>221</v>
      </c>
      <c r="C88" s="77" t="s">
        <v>12</v>
      </c>
      <c r="D88" s="36" t="s">
        <v>551</v>
      </c>
      <c r="E88" s="51" t="s">
        <v>509</v>
      </c>
      <c r="F88" s="79" t="s">
        <v>175</v>
      </c>
      <c r="G88" s="52" t="s">
        <v>12</v>
      </c>
      <c r="H88" s="52" t="s">
        <v>12</v>
      </c>
      <c r="I88" s="183"/>
      <c r="J88" s="80" t="s">
        <v>141</v>
      </c>
      <c r="K88" s="80">
        <v>102.78</v>
      </c>
      <c r="L88" s="187"/>
      <c r="M88" s="187"/>
      <c r="N88" s="80" t="s">
        <v>141</v>
      </c>
      <c r="O88" s="80">
        <v>119.2</v>
      </c>
      <c r="P88" s="80"/>
      <c r="Q88" s="80">
        <f t="shared" si="5"/>
        <v>119.2</v>
      </c>
      <c r="R88" s="80">
        <v>118.92</v>
      </c>
      <c r="S88" s="80" t="s">
        <v>141</v>
      </c>
      <c r="T88" s="92" t="s">
        <v>142</v>
      </c>
      <c r="U88" s="85" t="s">
        <v>143</v>
      </c>
    </row>
    <row r="89" spans="1:21" ht="71.25">
      <c r="A89" s="77">
        <v>12</v>
      </c>
      <c r="B89" s="79" t="s">
        <v>221</v>
      </c>
      <c r="C89" s="77" t="s">
        <v>12</v>
      </c>
      <c r="D89" s="36" t="s">
        <v>552</v>
      </c>
      <c r="E89" s="51" t="s">
        <v>553</v>
      </c>
      <c r="F89" s="79" t="s">
        <v>135</v>
      </c>
      <c r="G89" s="52" t="s">
        <v>12</v>
      </c>
      <c r="H89" s="52" t="s">
        <v>12</v>
      </c>
      <c r="I89" s="183"/>
      <c r="J89" s="80">
        <v>8.49</v>
      </c>
      <c r="K89" s="80">
        <v>217.89</v>
      </c>
      <c r="L89" s="187"/>
      <c r="M89" s="187"/>
      <c r="N89" s="80" t="s">
        <v>308</v>
      </c>
      <c r="O89" s="80">
        <v>252.7</v>
      </c>
      <c r="P89" s="80">
        <v>17.21</v>
      </c>
      <c r="Q89" s="80">
        <f t="shared" si="5"/>
        <v>269.90999999999997</v>
      </c>
      <c r="R89" s="80">
        <v>273.48</v>
      </c>
      <c r="S89" s="80">
        <v>9.37</v>
      </c>
      <c r="T89" s="83" t="s">
        <v>142</v>
      </c>
      <c r="U89" s="85" t="s">
        <v>143</v>
      </c>
    </row>
    <row r="90" spans="1:21" ht="199.5">
      <c r="A90" s="77">
        <v>12</v>
      </c>
      <c r="B90" s="79" t="s">
        <v>221</v>
      </c>
      <c r="C90" s="77" t="s">
        <v>12</v>
      </c>
      <c r="D90" s="36" t="s">
        <v>560</v>
      </c>
      <c r="E90" s="51" t="s">
        <v>561</v>
      </c>
      <c r="F90" s="79" t="s">
        <v>175</v>
      </c>
      <c r="G90" s="52" t="s">
        <v>492</v>
      </c>
      <c r="H90" s="52" t="s">
        <v>492</v>
      </c>
      <c r="I90" s="79" t="s">
        <v>562</v>
      </c>
      <c r="J90" s="80" t="s">
        <v>141</v>
      </c>
      <c r="K90" s="80">
        <v>126.76</v>
      </c>
      <c r="L90" s="80" t="s">
        <v>563</v>
      </c>
      <c r="M90" s="80" t="s">
        <v>564</v>
      </c>
      <c r="N90" s="80" t="s">
        <v>565</v>
      </c>
      <c r="O90" s="80">
        <v>168.88</v>
      </c>
      <c r="P90" s="80"/>
      <c r="Q90" s="80">
        <f t="shared" si="5"/>
        <v>168.88</v>
      </c>
      <c r="R90" s="80">
        <v>21.93</v>
      </c>
      <c r="S90" s="80" t="s">
        <v>141</v>
      </c>
      <c r="T90" s="83" t="s">
        <v>142</v>
      </c>
      <c r="U90" s="85" t="s">
        <v>143</v>
      </c>
    </row>
    <row r="91" spans="1:21" ht="99.75">
      <c r="A91" s="77">
        <v>13</v>
      </c>
      <c r="B91" s="79" t="s">
        <v>221</v>
      </c>
      <c r="C91" s="77" t="s">
        <v>12</v>
      </c>
      <c r="D91" s="36" t="s">
        <v>566</v>
      </c>
      <c r="E91" s="51" t="s">
        <v>567</v>
      </c>
      <c r="F91" s="79" t="s">
        <v>135</v>
      </c>
      <c r="G91" s="52" t="s">
        <v>492</v>
      </c>
      <c r="H91" s="52" t="s">
        <v>492</v>
      </c>
      <c r="I91" s="183" t="s">
        <v>192</v>
      </c>
      <c r="J91" s="80">
        <v>14.92</v>
      </c>
      <c r="K91" s="80">
        <v>358.83</v>
      </c>
      <c r="L91" s="187" t="s">
        <v>568</v>
      </c>
      <c r="M91" s="187" t="s">
        <v>569</v>
      </c>
      <c r="N91" s="80" t="s">
        <v>308</v>
      </c>
      <c r="O91" s="80">
        <v>446.28</v>
      </c>
      <c r="P91" s="80"/>
      <c r="Q91" s="80">
        <f t="shared" si="5"/>
        <v>446.28</v>
      </c>
      <c r="R91" s="80">
        <f>301.52+195.99</f>
        <v>497.51</v>
      </c>
      <c r="S91" s="80">
        <v>14.92</v>
      </c>
      <c r="T91" s="83" t="s">
        <v>142</v>
      </c>
      <c r="U91" s="85" t="s">
        <v>143</v>
      </c>
    </row>
    <row r="92" spans="1:21" ht="156.75">
      <c r="A92" s="77">
        <v>14</v>
      </c>
      <c r="B92" s="79" t="s">
        <v>221</v>
      </c>
      <c r="C92" s="77" t="s">
        <v>12</v>
      </c>
      <c r="D92" s="36" t="s">
        <v>570</v>
      </c>
      <c r="E92" s="51" t="s">
        <v>571</v>
      </c>
      <c r="F92" s="79" t="s">
        <v>175</v>
      </c>
      <c r="G92" s="52" t="s">
        <v>492</v>
      </c>
      <c r="H92" s="52" t="s">
        <v>492</v>
      </c>
      <c r="I92" s="183"/>
      <c r="J92" s="80" t="s">
        <v>141</v>
      </c>
      <c r="K92" s="80">
        <v>80.52</v>
      </c>
      <c r="L92" s="187"/>
      <c r="M92" s="187"/>
      <c r="N92" s="80" t="s">
        <v>141</v>
      </c>
      <c r="O92" s="80">
        <v>100.14</v>
      </c>
      <c r="P92" s="80"/>
      <c r="Q92" s="80">
        <f t="shared" si="5"/>
        <v>100.14</v>
      </c>
      <c r="R92" s="80">
        <v>110.96</v>
      </c>
      <c r="S92" s="80" t="s">
        <v>141</v>
      </c>
      <c r="T92" s="83" t="s">
        <v>142</v>
      </c>
      <c r="U92" s="85" t="s">
        <v>143</v>
      </c>
    </row>
    <row r="93" spans="1:21" ht="99.75">
      <c r="A93" s="77">
        <v>15</v>
      </c>
      <c r="B93" s="79" t="s">
        <v>221</v>
      </c>
      <c r="C93" s="77" t="s">
        <v>12</v>
      </c>
      <c r="D93" s="36" t="s">
        <v>572</v>
      </c>
      <c r="E93" s="51" t="s">
        <v>573</v>
      </c>
      <c r="F93" s="79" t="s">
        <v>135</v>
      </c>
      <c r="G93" s="52" t="s">
        <v>492</v>
      </c>
      <c r="H93" s="52" t="s">
        <v>12</v>
      </c>
      <c r="I93" s="183"/>
      <c r="J93" s="80">
        <v>6.15</v>
      </c>
      <c r="K93" s="80">
        <v>159.63</v>
      </c>
      <c r="L93" s="187"/>
      <c r="M93" s="187"/>
      <c r="N93" s="80" t="s">
        <v>533</v>
      </c>
      <c r="O93" s="80">
        <v>198.53</v>
      </c>
      <c r="P93" s="80"/>
      <c r="Q93" s="80">
        <f t="shared" si="5"/>
        <v>198.53</v>
      </c>
      <c r="R93" s="80">
        <v>234.25</v>
      </c>
      <c r="S93" s="80">
        <v>5.5</v>
      </c>
      <c r="T93" s="83" t="s">
        <v>142</v>
      </c>
      <c r="U93" s="85" t="s">
        <v>143</v>
      </c>
    </row>
    <row r="94" spans="1:21" ht="142.5">
      <c r="A94" s="77">
        <v>16</v>
      </c>
      <c r="B94" s="79" t="s">
        <v>221</v>
      </c>
      <c r="C94" s="77" t="s">
        <v>12</v>
      </c>
      <c r="D94" s="36" t="s">
        <v>574</v>
      </c>
      <c r="E94" s="51" t="s">
        <v>575</v>
      </c>
      <c r="F94" s="79" t="s">
        <v>135</v>
      </c>
      <c r="G94" s="52" t="s">
        <v>492</v>
      </c>
      <c r="H94" s="52" t="s">
        <v>492</v>
      </c>
      <c r="I94" s="183" t="s">
        <v>549</v>
      </c>
      <c r="J94" s="80">
        <v>5.78</v>
      </c>
      <c r="K94" s="80">
        <v>137.87</v>
      </c>
      <c r="L94" s="187" t="s">
        <v>199</v>
      </c>
      <c r="M94" s="187" t="s">
        <v>230</v>
      </c>
      <c r="N94" s="80" t="s">
        <v>576</v>
      </c>
      <c r="O94" s="80">
        <v>161.18</v>
      </c>
      <c r="P94" s="80"/>
      <c r="Q94" s="80">
        <f t="shared" si="5"/>
        <v>161.18</v>
      </c>
      <c r="R94" s="80">
        <f>168.36+28.62</f>
        <v>196.98000000000002</v>
      </c>
      <c r="S94" s="80">
        <v>5.78</v>
      </c>
      <c r="T94" s="83" t="s">
        <v>142</v>
      </c>
      <c r="U94" s="85" t="s">
        <v>143</v>
      </c>
    </row>
    <row r="95" spans="1:21" ht="71.25">
      <c r="A95" s="77">
        <v>17</v>
      </c>
      <c r="B95" s="79" t="s">
        <v>221</v>
      </c>
      <c r="C95" s="77" t="s">
        <v>12</v>
      </c>
      <c r="D95" s="36" t="s">
        <v>577</v>
      </c>
      <c r="E95" s="84" t="s">
        <v>578</v>
      </c>
      <c r="F95" s="79" t="s">
        <v>135</v>
      </c>
      <c r="G95" s="52" t="s">
        <v>492</v>
      </c>
      <c r="H95" s="52" t="s">
        <v>492</v>
      </c>
      <c r="I95" s="183"/>
      <c r="J95" s="80">
        <v>16.72</v>
      </c>
      <c r="K95" s="80">
        <v>399.44</v>
      </c>
      <c r="L95" s="187"/>
      <c r="M95" s="187"/>
      <c r="N95" s="80" t="s">
        <v>579</v>
      </c>
      <c r="O95" s="80">
        <v>467</v>
      </c>
      <c r="P95" s="80"/>
      <c r="Q95" s="80">
        <f t="shared" si="5"/>
        <v>467</v>
      </c>
      <c r="R95" s="80">
        <f>233.46+245.55</f>
        <v>479.01</v>
      </c>
      <c r="S95" s="80">
        <v>16.72</v>
      </c>
      <c r="T95" s="83" t="s">
        <v>142</v>
      </c>
      <c r="U95" s="85" t="s">
        <v>143</v>
      </c>
    </row>
    <row r="96" spans="1:21" ht="156.75">
      <c r="A96" s="77">
        <v>18</v>
      </c>
      <c r="B96" s="79" t="s">
        <v>221</v>
      </c>
      <c r="C96" s="77" t="s">
        <v>12</v>
      </c>
      <c r="D96" s="36" t="s">
        <v>580</v>
      </c>
      <c r="E96" s="84" t="s">
        <v>581</v>
      </c>
      <c r="F96" s="79" t="s">
        <v>175</v>
      </c>
      <c r="G96" s="52" t="s">
        <v>492</v>
      </c>
      <c r="H96" s="52" t="s">
        <v>492</v>
      </c>
      <c r="I96" s="183"/>
      <c r="J96" s="80" t="s">
        <v>141</v>
      </c>
      <c r="K96" s="80">
        <v>78.75</v>
      </c>
      <c r="L96" s="187"/>
      <c r="M96" s="187"/>
      <c r="N96" s="80" t="s">
        <v>141</v>
      </c>
      <c r="O96" s="80">
        <v>92.06</v>
      </c>
      <c r="P96" s="80"/>
      <c r="Q96" s="80">
        <f t="shared" si="5"/>
        <v>92.06</v>
      </c>
      <c r="R96" s="80">
        <v>63.52</v>
      </c>
      <c r="S96" s="80" t="s">
        <v>141</v>
      </c>
      <c r="T96" s="83" t="s">
        <v>142</v>
      </c>
      <c r="U96" s="85" t="s">
        <v>143</v>
      </c>
    </row>
    <row r="97" spans="1:21" ht="114">
      <c r="A97" s="77">
        <v>13</v>
      </c>
      <c r="B97" s="79" t="s">
        <v>221</v>
      </c>
      <c r="C97" s="77" t="s">
        <v>12</v>
      </c>
      <c r="D97" s="36" t="s">
        <v>582</v>
      </c>
      <c r="E97" s="51" t="s">
        <v>583</v>
      </c>
      <c r="F97" s="79" t="s">
        <v>135</v>
      </c>
      <c r="G97" s="52" t="s">
        <v>12</v>
      </c>
      <c r="H97" s="52" t="s">
        <v>12</v>
      </c>
      <c r="I97" s="79" t="s">
        <v>540</v>
      </c>
      <c r="J97" s="80">
        <v>1.86</v>
      </c>
      <c r="K97" s="80">
        <v>57.45</v>
      </c>
      <c r="L97" s="80" t="s">
        <v>199</v>
      </c>
      <c r="M97" s="80" t="s">
        <v>200</v>
      </c>
      <c r="N97" s="80" t="s">
        <v>201</v>
      </c>
      <c r="O97" s="80">
        <v>55.42</v>
      </c>
      <c r="P97" s="80"/>
      <c r="Q97" s="80">
        <f t="shared" si="5"/>
        <v>55.42</v>
      </c>
      <c r="R97" s="80">
        <v>44.54</v>
      </c>
      <c r="S97" s="80">
        <v>1.86</v>
      </c>
      <c r="T97" s="83" t="s">
        <v>142</v>
      </c>
      <c r="U97" s="85" t="s">
        <v>143</v>
      </c>
    </row>
    <row r="98" spans="1:21" ht="85.5">
      <c r="A98" s="77">
        <v>19</v>
      </c>
      <c r="B98" s="79" t="s">
        <v>244</v>
      </c>
      <c r="C98" s="77" t="s">
        <v>12</v>
      </c>
      <c r="D98" s="36" t="s">
        <v>589</v>
      </c>
      <c r="E98" s="51" t="s">
        <v>491</v>
      </c>
      <c r="F98" s="79" t="s">
        <v>135</v>
      </c>
      <c r="G98" s="53" t="s">
        <v>492</v>
      </c>
      <c r="H98" s="53" t="s">
        <v>492</v>
      </c>
      <c r="I98" s="191" t="s">
        <v>296</v>
      </c>
      <c r="J98" s="80">
        <v>15.35</v>
      </c>
      <c r="K98" s="80">
        <v>464.01</v>
      </c>
      <c r="L98" s="90" t="s">
        <v>200</v>
      </c>
      <c r="M98" s="90" t="s">
        <v>590</v>
      </c>
      <c r="N98" s="90" t="s">
        <v>216</v>
      </c>
      <c r="O98" s="80">
        <v>545.3</v>
      </c>
      <c r="P98" s="80"/>
      <c r="Q98" s="80">
        <f>SUM(O98:P98)</f>
        <v>545.3</v>
      </c>
      <c r="R98" s="209">
        <f>1393.84+230.41</f>
        <v>1624.25</v>
      </c>
      <c r="S98" s="80">
        <v>15.35</v>
      </c>
      <c r="T98" s="85" t="s">
        <v>142</v>
      </c>
      <c r="U98" s="215" t="s">
        <v>143</v>
      </c>
    </row>
    <row r="99" spans="1:21" ht="85.5">
      <c r="A99" s="77">
        <v>20</v>
      </c>
      <c r="B99" s="79" t="s">
        <v>244</v>
      </c>
      <c r="C99" s="77" t="s">
        <v>12</v>
      </c>
      <c r="D99" s="36" t="s">
        <v>591</v>
      </c>
      <c r="E99" s="51" t="s">
        <v>497</v>
      </c>
      <c r="F99" s="79" t="s">
        <v>135</v>
      </c>
      <c r="G99" s="53" t="s">
        <v>492</v>
      </c>
      <c r="H99" s="53" t="s">
        <v>492</v>
      </c>
      <c r="I99" s="191"/>
      <c r="J99" s="80">
        <v>14.85</v>
      </c>
      <c r="K99" s="80">
        <v>441.58</v>
      </c>
      <c r="L99" s="90" t="s">
        <v>200</v>
      </c>
      <c r="M99" s="90" t="s">
        <v>590</v>
      </c>
      <c r="N99" s="90" t="s">
        <v>216</v>
      </c>
      <c r="O99" s="80">
        <v>518.94</v>
      </c>
      <c r="P99" s="80"/>
      <c r="Q99" s="80">
        <f aca="true" t="shared" si="6" ref="Q99:Q113">SUM(O99:P99)</f>
        <v>518.94</v>
      </c>
      <c r="R99" s="210"/>
      <c r="S99" s="80">
        <v>14.85</v>
      </c>
      <c r="T99" s="85" t="s">
        <v>142</v>
      </c>
      <c r="U99" s="215"/>
    </row>
    <row r="100" spans="1:21" ht="85.5">
      <c r="A100" s="77">
        <v>21</v>
      </c>
      <c r="B100" s="79" t="s">
        <v>244</v>
      </c>
      <c r="C100" s="77" t="s">
        <v>12</v>
      </c>
      <c r="D100" s="36" t="s">
        <v>592</v>
      </c>
      <c r="E100" s="51" t="s">
        <v>500</v>
      </c>
      <c r="F100" s="79" t="s">
        <v>135</v>
      </c>
      <c r="G100" s="53" t="s">
        <v>492</v>
      </c>
      <c r="H100" s="53" t="s">
        <v>492</v>
      </c>
      <c r="I100" s="191"/>
      <c r="J100" s="80">
        <v>13.55</v>
      </c>
      <c r="K100" s="80">
        <v>416.25</v>
      </c>
      <c r="L100" s="90" t="s">
        <v>200</v>
      </c>
      <c r="M100" s="90" t="s">
        <v>590</v>
      </c>
      <c r="N100" s="90" t="s">
        <v>593</v>
      </c>
      <c r="O100" s="80">
        <v>489.18</v>
      </c>
      <c r="P100" s="80"/>
      <c r="Q100" s="80">
        <f t="shared" si="6"/>
        <v>489.18</v>
      </c>
      <c r="R100" s="211"/>
      <c r="S100" s="80">
        <v>12</v>
      </c>
      <c r="T100" s="85" t="s">
        <v>142</v>
      </c>
      <c r="U100" s="215"/>
    </row>
    <row r="101" spans="1:21" ht="85.5">
      <c r="A101" s="77">
        <v>22</v>
      </c>
      <c r="B101" s="79" t="s">
        <v>244</v>
      </c>
      <c r="C101" s="77" t="s">
        <v>12</v>
      </c>
      <c r="D101" s="36" t="s">
        <v>594</v>
      </c>
      <c r="E101" s="51" t="s">
        <v>515</v>
      </c>
      <c r="F101" s="79" t="s">
        <v>135</v>
      </c>
      <c r="G101" s="53" t="s">
        <v>492</v>
      </c>
      <c r="H101" s="53" t="s">
        <v>492</v>
      </c>
      <c r="I101" s="81" t="s">
        <v>595</v>
      </c>
      <c r="J101" s="80">
        <v>10.77</v>
      </c>
      <c r="K101" s="80">
        <v>344.62</v>
      </c>
      <c r="L101" s="80" t="s">
        <v>252</v>
      </c>
      <c r="M101" s="80" t="s">
        <v>596</v>
      </c>
      <c r="N101" s="80" t="s">
        <v>216</v>
      </c>
      <c r="O101" s="80">
        <v>434.75</v>
      </c>
      <c r="P101" s="80">
        <v>13.97</v>
      </c>
      <c r="Q101" s="80">
        <f t="shared" si="6"/>
        <v>448.72</v>
      </c>
      <c r="R101" s="80">
        <f>321.07+126.9</f>
        <v>447.97</v>
      </c>
      <c r="S101" s="80">
        <v>10.5</v>
      </c>
      <c r="T101" s="85" t="s">
        <v>142</v>
      </c>
      <c r="U101" s="215"/>
    </row>
    <row r="102" spans="1:21" ht="71.25">
      <c r="A102" s="77">
        <v>23</v>
      </c>
      <c r="B102" s="79" t="s">
        <v>244</v>
      </c>
      <c r="C102" s="77" t="s">
        <v>12</v>
      </c>
      <c r="D102" s="54" t="s">
        <v>597</v>
      </c>
      <c r="E102" s="51" t="s">
        <v>509</v>
      </c>
      <c r="F102" s="79" t="s">
        <v>135</v>
      </c>
      <c r="G102" s="53" t="s">
        <v>492</v>
      </c>
      <c r="H102" s="53" t="s">
        <v>492</v>
      </c>
      <c r="I102" s="81" t="s">
        <v>598</v>
      </c>
      <c r="J102" s="80">
        <v>15.83</v>
      </c>
      <c r="K102" s="80">
        <v>529.71</v>
      </c>
      <c r="L102" s="80" t="s">
        <v>599</v>
      </c>
      <c r="M102" s="80" t="s">
        <v>600</v>
      </c>
      <c r="N102" s="86" t="s">
        <v>278</v>
      </c>
      <c r="O102" s="80">
        <v>523.97</v>
      </c>
      <c r="P102" s="80">
        <v>74.56</v>
      </c>
      <c r="Q102" s="80">
        <f t="shared" si="6"/>
        <v>598.53</v>
      </c>
      <c r="R102" s="80">
        <f>256.21+357.92</f>
        <v>614.13</v>
      </c>
      <c r="S102" s="80">
        <v>15.8</v>
      </c>
      <c r="T102" s="85" t="s">
        <v>142</v>
      </c>
      <c r="U102" s="83" t="s">
        <v>261</v>
      </c>
    </row>
    <row r="103" spans="1:21" ht="114">
      <c r="A103" s="77">
        <v>14</v>
      </c>
      <c r="B103" s="79" t="s">
        <v>244</v>
      </c>
      <c r="C103" s="77" t="s">
        <v>12</v>
      </c>
      <c r="D103" s="36" t="s">
        <v>601</v>
      </c>
      <c r="E103" s="51" t="s">
        <v>512</v>
      </c>
      <c r="F103" s="79" t="s">
        <v>135</v>
      </c>
      <c r="G103" s="53" t="s">
        <v>12</v>
      </c>
      <c r="H103" s="53" t="s">
        <v>12</v>
      </c>
      <c r="I103" s="81" t="s">
        <v>602</v>
      </c>
      <c r="J103" s="80">
        <v>7.19</v>
      </c>
      <c r="K103" s="80">
        <v>238.76</v>
      </c>
      <c r="L103" s="80" t="s">
        <v>599</v>
      </c>
      <c r="M103" s="80" t="s">
        <v>603</v>
      </c>
      <c r="N103" s="80" t="s">
        <v>308</v>
      </c>
      <c r="O103" s="80">
        <v>232.85</v>
      </c>
      <c r="P103" s="80">
        <v>41.97</v>
      </c>
      <c r="Q103" s="80">
        <f t="shared" si="6"/>
        <v>274.82</v>
      </c>
      <c r="R103" s="80">
        <v>191.49</v>
      </c>
      <c r="S103" s="80">
        <v>7.19</v>
      </c>
      <c r="T103" s="85" t="s">
        <v>142</v>
      </c>
      <c r="U103" s="83" t="s">
        <v>143</v>
      </c>
    </row>
    <row r="104" spans="1:21" ht="71.25">
      <c r="A104" s="77">
        <v>24</v>
      </c>
      <c r="B104" s="79" t="s">
        <v>244</v>
      </c>
      <c r="C104" s="77" t="s">
        <v>12</v>
      </c>
      <c r="D104" s="36" t="s">
        <v>604</v>
      </c>
      <c r="E104" s="51" t="s">
        <v>561</v>
      </c>
      <c r="F104" s="79" t="s">
        <v>135</v>
      </c>
      <c r="G104" s="53" t="s">
        <v>492</v>
      </c>
      <c r="H104" s="53" t="s">
        <v>12</v>
      </c>
      <c r="I104" s="81" t="s">
        <v>605</v>
      </c>
      <c r="J104" s="80">
        <v>7.67</v>
      </c>
      <c r="K104" s="80">
        <v>305.11</v>
      </c>
      <c r="L104" s="80" t="s">
        <v>606</v>
      </c>
      <c r="M104" s="80" t="s">
        <v>607</v>
      </c>
      <c r="N104" s="80" t="s">
        <v>254</v>
      </c>
      <c r="O104" s="80">
        <v>270.68</v>
      </c>
      <c r="P104" s="80"/>
      <c r="Q104" s="80">
        <f t="shared" si="6"/>
        <v>270.68</v>
      </c>
      <c r="R104" s="80">
        <v>270.68</v>
      </c>
      <c r="S104" s="80">
        <v>7.67</v>
      </c>
      <c r="T104" s="85" t="s">
        <v>142</v>
      </c>
      <c r="U104" s="83" t="s">
        <v>143</v>
      </c>
    </row>
    <row r="105" spans="1:21" ht="114">
      <c r="A105" s="77">
        <v>25</v>
      </c>
      <c r="B105" s="79" t="s">
        <v>244</v>
      </c>
      <c r="C105" s="77" t="s">
        <v>12</v>
      </c>
      <c r="D105" s="36" t="s">
        <v>608</v>
      </c>
      <c r="E105" s="51" t="s">
        <v>559</v>
      </c>
      <c r="F105" s="79" t="s">
        <v>135</v>
      </c>
      <c r="G105" s="53" t="s">
        <v>492</v>
      </c>
      <c r="H105" s="53" t="s">
        <v>492</v>
      </c>
      <c r="I105" s="81" t="s">
        <v>296</v>
      </c>
      <c r="J105" s="80">
        <v>11.97</v>
      </c>
      <c r="K105" s="80">
        <v>351.74</v>
      </c>
      <c r="L105" s="80" t="s">
        <v>229</v>
      </c>
      <c r="M105" s="80" t="s">
        <v>609</v>
      </c>
      <c r="N105" s="80" t="s">
        <v>308</v>
      </c>
      <c r="O105" s="80">
        <v>401.63</v>
      </c>
      <c r="P105" s="80"/>
      <c r="Q105" s="80">
        <f t="shared" si="6"/>
        <v>401.63</v>
      </c>
      <c r="R105" s="80">
        <f>276.57+119.11</f>
        <v>395.68</v>
      </c>
      <c r="S105" s="80">
        <v>11.3</v>
      </c>
      <c r="T105" s="85" t="s">
        <v>142</v>
      </c>
      <c r="U105" s="83" t="s">
        <v>143</v>
      </c>
    </row>
    <row r="106" spans="1:21" ht="99.75">
      <c r="A106" s="77">
        <v>15</v>
      </c>
      <c r="B106" s="79" t="s">
        <v>244</v>
      </c>
      <c r="C106" s="77" t="s">
        <v>12</v>
      </c>
      <c r="D106" s="36" t="s">
        <v>610</v>
      </c>
      <c r="E106" s="51" t="s">
        <v>567</v>
      </c>
      <c r="F106" s="79" t="s">
        <v>135</v>
      </c>
      <c r="G106" s="53" t="s">
        <v>12</v>
      </c>
      <c r="H106" s="53" t="s">
        <v>12</v>
      </c>
      <c r="I106" s="81" t="s">
        <v>611</v>
      </c>
      <c r="J106" s="80">
        <v>6.82</v>
      </c>
      <c r="K106" s="80">
        <v>363.12</v>
      </c>
      <c r="L106" s="80" t="s">
        <v>612</v>
      </c>
      <c r="M106" s="80" t="s">
        <v>613</v>
      </c>
      <c r="N106" s="80" t="s">
        <v>254</v>
      </c>
      <c r="O106" s="80">
        <v>414.89</v>
      </c>
      <c r="P106" s="80"/>
      <c r="Q106" s="80">
        <f t="shared" si="6"/>
        <v>414.89</v>
      </c>
      <c r="R106" s="80">
        <v>434.25</v>
      </c>
      <c r="S106" s="80">
        <v>6.82</v>
      </c>
      <c r="T106" s="85" t="s">
        <v>142</v>
      </c>
      <c r="U106" s="83" t="s">
        <v>143</v>
      </c>
    </row>
    <row r="107" spans="1:21" ht="142.5">
      <c r="A107" s="77">
        <v>16</v>
      </c>
      <c r="B107" s="79" t="s">
        <v>244</v>
      </c>
      <c r="C107" s="77" t="s">
        <v>12</v>
      </c>
      <c r="D107" s="36" t="s">
        <v>614</v>
      </c>
      <c r="E107" s="51" t="s">
        <v>571</v>
      </c>
      <c r="F107" s="79" t="s">
        <v>135</v>
      </c>
      <c r="G107" s="53" t="s">
        <v>12</v>
      </c>
      <c r="H107" s="53" t="s">
        <v>12</v>
      </c>
      <c r="I107" s="81" t="s">
        <v>615</v>
      </c>
      <c r="J107" s="80">
        <v>5.22</v>
      </c>
      <c r="K107" s="80">
        <v>204.95</v>
      </c>
      <c r="L107" s="80" t="s">
        <v>229</v>
      </c>
      <c r="M107" s="80" t="s">
        <v>609</v>
      </c>
      <c r="N107" s="80" t="s">
        <v>616</v>
      </c>
      <c r="O107" s="80">
        <v>175.14</v>
      </c>
      <c r="P107" s="80"/>
      <c r="Q107" s="80">
        <f t="shared" si="6"/>
        <v>175.14</v>
      </c>
      <c r="R107" s="80">
        <v>173.14</v>
      </c>
      <c r="S107" s="80">
        <v>5.22</v>
      </c>
      <c r="T107" s="85" t="s">
        <v>142</v>
      </c>
      <c r="U107" s="83" t="s">
        <v>143</v>
      </c>
    </row>
    <row r="108" spans="1:21" ht="142.5">
      <c r="A108" s="77">
        <v>17</v>
      </c>
      <c r="B108" s="79" t="s">
        <v>244</v>
      </c>
      <c r="C108" s="77" t="s">
        <v>12</v>
      </c>
      <c r="D108" s="36" t="s">
        <v>617</v>
      </c>
      <c r="E108" s="51" t="s">
        <v>573</v>
      </c>
      <c r="F108" s="79" t="s">
        <v>135</v>
      </c>
      <c r="G108" s="53" t="s">
        <v>12</v>
      </c>
      <c r="H108" s="53" t="s">
        <v>12</v>
      </c>
      <c r="I108" s="81" t="s">
        <v>618</v>
      </c>
      <c r="J108" s="80">
        <v>3.31</v>
      </c>
      <c r="K108" s="80">
        <v>126.96</v>
      </c>
      <c r="L108" s="80" t="s">
        <v>619</v>
      </c>
      <c r="M108" s="80" t="s">
        <v>620</v>
      </c>
      <c r="N108" s="80" t="s">
        <v>308</v>
      </c>
      <c r="O108" s="80">
        <v>82.3</v>
      </c>
      <c r="P108" s="80"/>
      <c r="Q108" s="80">
        <f t="shared" si="6"/>
        <v>82.3</v>
      </c>
      <c r="R108" s="80">
        <v>95.91</v>
      </c>
      <c r="S108" s="80">
        <v>3.31</v>
      </c>
      <c r="T108" s="85" t="s">
        <v>142</v>
      </c>
      <c r="U108" s="83" t="s">
        <v>143</v>
      </c>
    </row>
    <row r="109" spans="1:21" ht="114">
      <c r="A109" s="77">
        <v>18</v>
      </c>
      <c r="B109" s="79" t="s">
        <v>244</v>
      </c>
      <c r="C109" s="77" t="s">
        <v>12</v>
      </c>
      <c r="D109" s="36" t="s">
        <v>621</v>
      </c>
      <c r="E109" s="51" t="s">
        <v>575</v>
      </c>
      <c r="F109" s="80" t="s">
        <v>391</v>
      </c>
      <c r="G109" s="53" t="s">
        <v>12</v>
      </c>
      <c r="H109" s="53" t="s">
        <v>12</v>
      </c>
      <c r="I109" s="81" t="s">
        <v>622</v>
      </c>
      <c r="J109" s="80">
        <v>7.82</v>
      </c>
      <c r="K109" s="80">
        <v>362.79</v>
      </c>
      <c r="L109" s="80" t="s">
        <v>606</v>
      </c>
      <c r="M109" s="80" t="s">
        <v>216</v>
      </c>
      <c r="N109" s="80" t="s">
        <v>299</v>
      </c>
      <c r="O109" s="80">
        <v>355.5</v>
      </c>
      <c r="P109" s="80"/>
      <c r="Q109" s="80">
        <f t="shared" si="6"/>
        <v>355.5</v>
      </c>
      <c r="R109" s="80">
        <v>355.22</v>
      </c>
      <c r="S109" s="80">
        <v>7.82</v>
      </c>
      <c r="T109" s="85" t="s">
        <v>142</v>
      </c>
      <c r="U109" s="83" t="s">
        <v>261</v>
      </c>
    </row>
    <row r="110" spans="1:21" ht="165">
      <c r="A110" s="77">
        <v>19</v>
      </c>
      <c r="B110" s="79" t="s">
        <v>279</v>
      </c>
      <c r="C110" s="77" t="s">
        <v>12</v>
      </c>
      <c r="D110" s="37" t="s">
        <v>623</v>
      </c>
      <c r="E110" s="51" t="s">
        <v>491</v>
      </c>
      <c r="F110" s="79" t="s">
        <v>135</v>
      </c>
      <c r="G110" s="79" t="s">
        <v>12</v>
      </c>
      <c r="H110" s="79" t="s">
        <v>12</v>
      </c>
      <c r="I110" s="79" t="s">
        <v>275</v>
      </c>
      <c r="J110" s="80">
        <v>5.64</v>
      </c>
      <c r="K110" s="80">
        <v>239.04</v>
      </c>
      <c r="L110" s="79" t="s">
        <v>624</v>
      </c>
      <c r="M110" s="79" t="s">
        <v>333</v>
      </c>
      <c r="N110" s="79" t="s">
        <v>216</v>
      </c>
      <c r="O110" s="80">
        <v>181.29</v>
      </c>
      <c r="P110" s="80"/>
      <c r="Q110" s="80">
        <f t="shared" si="6"/>
        <v>181.29</v>
      </c>
      <c r="R110" s="80">
        <v>172.8</v>
      </c>
      <c r="S110" s="80">
        <v>5.64</v>
      </c>
      <c r="T110" s="83" t="s">
        <v>142</v>
      </c>
      <c r="U110" s="83" t="s">
        <v>143</v>
      </c>
    </row>
    <row r="111" spans="1:21" ht="150">
      <c r="A111" s="77">
        <v>20</v>
      </c>
      <c r="B111" s="79" t="s">
        <v>279</v>
      </c>
      <c r="C111" s="77" t="s">
        <v>12</v>
      </c>
      <c r="D111" s="37" t="s">
        <v>625</v>
      </c>
      <c r="E111" s="51" t="s">
        <v>497</v>
      </c>
      <c r="F111" s="79" t="s">
        <v>135</v>
      </c>
      <c r="G111" s="79" t="s">
        <v>12</v>
      </c>
      <c r="H111" s="79" t="s">
        <v>12</v>
      </c>
      <c r="I111" s="79" t="s">
        <v>520</v>
      </c>
      <c r="J111" s="80">
        <v>3</v>
      </c>
      <c r="K111" s="80">
        <v>124.38</v>
      </c>
      <c r="L111" s="79" t="s">
        <v>292</v>
      </c>
      <c r="M111" s="79" t="s">
        <v>293</v>
      </c>
      <c r="N111" s="79" t="s">
        <v>268</v>
      </c>
      <c r="O111" s="80">
        <v>72.36</v>
      </c>
      <c r="P111" s="80"/>
      <c r="Q111" s="80">
        <f t="shared" si="6"/>
        <v>72.36</v>
      </c>
      <c r="R111" s="80">
        <v>71.8</v>
      </c>
      <c r="S111" s="80">
        <v>4.62</v>
      </c>
      <c r="T111" s="92" t="s">
        <v>142</v>
      </c>
      <c r="U111" s="83" t="s">
        <v>143</v>
      </c>
    </row>
    <row r="112" spans="1:21" ht="114.75">
      <c r="A112" s="77">
        <v>26</v>
      </c>
      <c r="B112" s="79" t="s">
        <v>313</v>
      </c>
      <c r="C112" s="77" t="s">
        <v>12</v>
      </c>
      <c r="D112" s="39" t="s">
        <v>638</v>
      </c>
      <c r="E112" s="77" t="s">
        <v>497</v>
      </c>
      <c r="F112" s="79" t="s">
        <v>135</v>
      </c>
      <c r="G112" s="79" t="s">
        <v>492</v>
      </c>
      <c r="H112" s="79" t="s">
        <v>12</v>
      </c>
      <c r="I112" s="79" t="s">
        <v>627</v>
      </c>
      <c r="J112" s="90">
        <v>7.35</v>
      </c>
      <c r="K112" s="80">
        <v>256.02</v>
      </c>
      <c r="L112" s="80" t="s">
        <v>639</v>
      </c>
      <c r="M112" s="80" t="s">
        <v>640</v>
      </c>
      <c r="N112" s="80" t="s">
        <v>273</v>
      </c>
      <c r="O112" s="80">
        <v>155.75</v>
      </c>
      <c r="P112" s="80">
        <v>19.41</v>
      </c>
      <c r="Q112" s="80">
        <f t="shared" si="6"/>
        <v>175.16</v>
      </c>
      <c r="R112" s="80">
        <v>156.91</v>
      </c>
      <c r="S112" s="80">
        <v>7.35</v>
      </c>
      <c r="T112" s="56" t="s">
        <v>142</v>
      </c>
      <c r="U112" s="56" t="s">
        <v>143</v>
      </c>
    </row>
    <row r="113" spans="1:21" ht="114.75">
      <c r="A113" s="77">
        <v>21</v>
      </c>
      <c r="B113" s="79" t="s">
        <v>313</v>
      </c>
      <c r="C113" s="77" t="s">
        <v>12</v>
      </c>
      <c r="D113" s="39" t="s">
        <v>641</v>
      </c>
      <c r="E113" s="77" t="s">
        <v>515</v>
      </c>
      <c r="F113" s="79" t="s">
        <v>135</v>
      </c>
      <c r="G113" s="79" t="s">
        <v>12</v>
      </c>
      <c r="H113" s="79" t="s">
        <v>12</v>
      </c>
      <c r="I113" s="79" t="s">
        <v>642</v>
      </c>
      <c r="J113" s="90">
        <v>10.33</v>
      </c>
      <c r="K113" s="80">
        <v>363.09</v>
      </c>
      <c r="L113" s="80" t="s">
        <v>639</v>
      </c>
      <c r="M113" s="80" t="s">
        <v>640</v>
      </c>
      <c r="N113" s="80" t="s">
        <v>643</v>
      </c>
      <c r="O113" s="80">
        <v>211.46</v>
      </c>
      <c r="P113" s="80"/>
      <c r="Q113" s="80">
        <f t="shared" si="6"/>
        <v>211.46</v>
      </c>
      <c r="R113" s="80">
        <v>174.17</v>
      </c>
      <c r="S113" s="80">
        <v>10.33</v>
      </c>
      <c r="T113" s="57" t="s">
        <v>142</v>
      </c>
      <c r="U113" s="56" t="s">
        <v>143</v>
      </c>
    </row>
    <row r="114" spans="1:21" ht="140.25">
      <c r="A114" s="77">
        <v>22</v>
      </c>
      <c r="B114" s="79" t="s">
        <v>395</v>
      </c>
      <c r="C114" s="77" t="s">
        <v>12</v>
      </c>
      <c r="D114" s="136" t="s">
        <v>662</v>
      </c>
      <c r="E114" s="60" t="s">
        <v>663</v>
      </c>
      <c r="F114" s="60" t="s">
        <v>159</v>
      </c>
      <c r="G114" s="60" t="s">
        <v>12</v>
      </c>
      <c r="H114" s="40" t="s">
        <v>12</v>
      </c>
      <c r="I114" s="40"/>
      <c r="J114" s="40">
        <v>5.64</v>
      </c>
      <c r="K114" s="40">
        <v>214.27</v>
      </c>
      <c r="L114" s="40" t="s">
        <v>664</v>
      </c>
      <c r="M114" s="40" t="s">
        <v>665</v>
      </c>
      <c r="N114" s="61" t="s">
        <v>666</v>
      </c>
      <c r="O114" s="77"/>
      <c r="P114" s="77"/>
      <c r="Q114" s="40">
        <v>209.28</v>
      </c>
      <c r="R114" s="40">
        <v>204.76</v>
      </c>
      <c r="S114" s="40">
        <v>5.64</v>
      </c>
      <c r="T114" s="62" t="s">
        <v>397</v>
      </c>
      <c r="U114" s="77"/>
    </row>
    <row r="115" spans="1:21" ht="89.25">
      <c r="A115" s="77">
        <v>23</v>
      </c>
      <c r="B115" s="79" t="s">
        <v>395</v>
      </c>
      <c r="C115" s="77" t="s">
        <v>12</v>
      </c>
      <c r="D115" s="136" t="s">
        <v>667</v>
      </c>
      <c r="E115" s="60" t="s">
        <v>668</v>
      </c>
      <c r="F115" s="60" t="s">
        <v>159</v>
      </c>
      <c r="G115" s="60" t="s">
        <v>12</v>
      </c>
      <c r="H115" s="40" t="s">
        <v>12</v>
      </c>
      <c r="I115" s="40" t="s">
        <v>669</v>
      </c>
      <c r="J115" s="40">
        <v>2</v>
      </c>
      <c r="K115" s="40">
        <v>85.89</v>
      </c>
      <c r="L115" s="40" t="s">
        <v>670</v>
      </c>
      <c r="M115" s="40" t="s">
        <v>671</v>
      </c>
      <c r="N115" s="40" t="s">
        <v>268</v>
      </c>
      <c r="O115" s="77"/>
      <c r="P115" s="77"/>
      <c r="Q115" s="40">
        <v>91.51</v>
      </c>
      <c r="R115" s="40">
        <v>94.14</v>
      </c>
      <c r="S115" s="40">
        <v>1.86</v>
      </c>
      <c r="T115" s="62" t="s">
        <v>397</v>
      </c>
      <c r="U115" s="77"/>
    </row>
    <row r="116" spans="1:21" ht="63.75">
      <c r="A116" s="77">
        <v>24</v>
      </c>
      <c r="B116" s="79" t="s">
        <v>395</v>
      </c>
      <c r="C116" s="77" t="s">
        <v>12</v>
      </c>
      <c r="D116" s="136" t="s">
        <v>672</v>
      </c>
      <c r="E116" s="60" t="s">
        <v>673</v>
      </c>
      <c r="F116" s="60" t="s">
        <v>159</v>
      </c>
      <c r="G116" s="60" t="s">
        <v>12</v>
      </c>
      <c r="H116" s="40" t="s">
        <v>12</v>
      </c>
      <c r="I116" s="40" t="s">
        <v>475</v>
      </c>
      <c r="J116" s="40">
        <v>4.5</v>
      </c>
      <c r="K116" s="40">
        <v>185.25</v>
      </c>
      <c r="L116" s="40" t="s">
        <v>674</v>
      </c>
      <c r="M116" s="40" t="s">
        <v>675</v>
      </c>
      <c r="N116" s="40" t="s">
        <v>676</v>
      </c>
      <c r="O116" s="77"/>
      <c r="P116" s="77"/>
      <c r="Q116" s="40">
        <v>156.43</v>
      </c>
      <c r="R116" s="40">
        <v>150.37</v>
      </c>
      <c r="S116" s="40">
        <v>4.5</v>
      </c>
      <c r="T116" s="62" t="s">
        <v>397</v>
      </c>
      <c r="U116" s="77"/>
    </row>
    <row r="117" spans="1:21" ht="102">
      <c r="A117" s="77">
        <v>27</v>
      </c>
      <c r="B117" s="79" t="s">
        <v>395</v>
      </c>
      <c r="C117" s="77" t="s">
        <v>12</v>
      </c>
      <c r="D117" s="136" t="s">
        <v>677</v>
      </c>
      <c r="E117" s="60" t="s">
        <v>678</v>
      </c>
      <c r="F117" s="60" t="s">
        <v>159</v>
      </c>
      <c r="G117" s="60" t="s">
        <v>492</v>
      </c>
      <c r="H117" s="40" t="s">
        <v>12</v>
      </c>
      <c r="I117" s="40" t="s">
        <v>679</v>
      </c>
      <c r="J117" s="40">
        <v>5.5</v>
      </c>
      <c r="K117" s="40">
        <v>214.4</v>
      </c>
      <c r="L117" s="40" t="s">
        <v>680</v>
      </c>
      <c r="M117" s="40" t="s">
        <v>681</v>
      </c>
      <c r="N117" s="61" t="s">
        <v>666</v>
      </c>
      <c r="O117" s="77"/>
      <c r="P117" s="77"/>
      <c r="Q117" s="40">
        <v>221.49</v>
      </c>
      <c r="R117" s="40">
        <v>239.2</v>
      </c>
      <c r="S117" s="40">
        <v>5.5</v>
      </c>
      <c r="T117" s="62" t="s">
        <v>397</v>
      </c>
      <c r="U117" s="77"/>
    </row>
    <row r="118" spans="1:21" ht="89.25">
      <c r="A118" s="77">
        <v>25</v>
      </c>
      <c r="B118" s="79" t="s">
        <v>395</v>
      </c>
      <c r="C118" s="77" t="s">
        <v>12</v>
      </c>
      <c r="D118" s="136" t="s">
        <v>682</v>
      </c>
      <c r="E118" s="60" t="s">
        <v>683</v>
      </c>
      <c r="F118" s="60" t="s">
        <v>159</v>
      </c>
      <c r="G118" s="60" t="s">
        <v>12</v>
      </c>
      <c r="H118" s="40" t="s">
        <v>12</v>
      </c>
      <c r="I118" s="40" t="s">
        <v>684</v>
      </c>
      <c r="J118" s="40">
        <v>6.66</v>
      </c>
      <c r="K118" s="40">
        <v>267.18</v>
      </c>
      <c r="L118" s="40" t="s">
        <v>670</v>
      </c>
      <c r="M118" s="40" t="s">
        <v>685</v>
      </c>
      <c r="N118" s="40" t="s">
        <v>676</v>
      </c>
      <c r="O118" s="77"/>
      <c r="P118" s="77"/>
      <c r="Q118" s="40">
        <v>257.53</v>
      </c>
      <c r="R118" s="40">
        <v>229.15</v>
      </c>
      <c r="S118" s="40">
        <v>6.66</v>
      </c>
      <c r="T118" s="62" t="s">
        <v>397</v>
      </c>
      <c r="U118" s="77"/>
    </row>
    <row r="119" spans="1:21" ht="140.25">
      <c r="A119" s="77">
        <v>28</v>
      </c>
      <c r="B119" s="79" t="s">
        <v>415</v>
      </c>
      <c r="C119" s="77" t="s">
        <v>12</v>
      </c>
      <c r="D119" s="64" t="s">
        <v>731</v>
      </c>
      <c r="E119" s="60" t="s">
        <v>673</v>
      </c>
      <c r="F119" s="60" t="s">
        <v>175</v>
      </c>
      <c r="G119" s="60" t="s">
        <v>492</v>
      </c>
      <c r="H119" s="41" t="s">
        <v>12</v>
      </c>
      <c r="I119" s="41" t="s">
        <v>732</v>
      </c>
      <c r="J119" s="40" t="s">
        <v>141</v>
      </c>
      <c r="K119" s="40">
        <v>120.45</v>
      </c>
      <c r="L119" s="63" t="s">
        <v>703</v>
      </c>
      <c r="M119" s="63" t="s">
        <v>704</v>
      </c>
      <c r="N119" s="63" t="s">
        <v>676</v>
      </c>
      <c r="O119" s="77"/>
      <c r="P119" s="77"/>
      <c r="Q119" s="78">
        <v>120.35</v>
      </c>
      <c r="R119" s="78">
        <v>149.84</v>
      </c>
      <c r="S119" s="78" t="s">
        <v>141</v>
      </c>
      <c r="T119" s="65" t="s">
        <v>397</v>
      </c>
      <c r="U119" s="63" t="s">
        <v>141</v>
      </c>
    </row>
    <row r="120" spans="1:21" ht="140.25">
      <c r="A120" s="77">
        <v>29</v>
      </c>
      <c r="B120" s="79" t="s">
        <v>415</v>
      </c>
      <c r="C120" s="77" t="s">
        <v>12</v>
      </c>
      <c r="D120" s="64" t="s">
        <v>733</v>
      </c>
      <c r="E120" s="60" t="s">
        <v>678</v>
      </c>
      <c r="F120" s="60" t="s">
        <v>175</v>
      </c>
      <c r="G120" s="60" t="s">
        <v>492</v>
      </c>
      <c r="H120" s="41" t="s">
        <v>12</v>
      </c>
      <c r="I120" s="41" t="s">
        <v>732</v>
      </c>
      <c r="J120" s="40" t="s">
        <v>141</v>
      </c>
      <c r="K120" s="40">
        <v>125.58</v>
      </c>
      <c r="L120" s="63" t="s">
        <v>734</v>
      </c>
      <c r="M120" s="63" t="s">
        <v>735</v>
      </c>
      <c r="N120" s="63" t="s">
        <v>736</v>
      </c>
      <c r="O120" s="77"/>
      <c r="P120" s="77"/>
      <c r="Q120" s="78">
        <v>124.18</v>
      </c>
      <c r="R120" s="78">
        <v>148.96</v>
      </c>
      <c r="S120" s="78" t="s">
        <v>141</v>
      </c>
      <c r="T120" s="65" t="s">
        <v>397</v>
      </c>
      <c r="U120" s="63" t="s">
        <v>141</v>
      </c>
    </row>
    <row r="121" spans="1:21" ht="165.75">
      <c r="A121" s="77">
        <v>26</v>
      </c>
      <c r="B121" s="79" t="s">
        <v>415</v>
      </c>
      <c r="C121" s="77" t="s">
        <v>12</v>
      </c>
      <c r="D121" s="64" t="s">
        <v>737</v>
      </c>
      <c r="E121" s="60" t="s">
        <v>683</v>
      </c>
      <c r="F121" s="60" t="s">
        <v>175</v>
      </c>
      <c r="G121" s="60" t="s">
        <v>12</v>
      </c>
      <c r="H121" s="41" t="s">
        <v>12</v>
      </c>
      <c r="I121" s="41" t="s">
        <v>727</v>
      </c>
      <c r="J121" s="40" t="s">
        <v>141</v>
      </c>
      <c r="K121" s="40">
        <v>128.15</v>
      </c>
      <c r="L121" s="63" t="s">
        <v>734</v>
      </c>
      <c r="M121" s="63" t="s">
        <v>735</v>
      </c>
      <c r="N121" s="63" t="s">
        <v>268</v>
      </c>
      <c r="O121" s="77"/>
      <c r="P121" s="77"/>
      <c r="Q121" s="78">
        <v>126.76</v>
      </c>
      <c r="R121" s="78">
        <v>159.01</v>
      </c>
      <c r="S121" s="78" t="s">
        <v>141</v>
      </c>
      <c r="T121" s="65" t="s">
        <v>397</v>
      </c>
      <c r="U121" s="63" t="s">
        <v>141</v>
      </c>
    </row>
    <row r="122" spans="1:21" ht="165.75">
      <c r="A122" s="77">
        <v>27</v>
      </c>
      <c r="B122" s="79" t="s">
        <v>415</v>
      </c>
      <c r="C122" s="77" t="s">
        <v>12</v>
      </c>
      <c r="D122" s="64" t="s">
        <v>738</v>
      </c>
      <c r="E122" s="60" t="s">
        <v>739</v>
      </c>
      <c r="F122" s="60" t="s">
        <v>175</v>
      </c>
      <c r="G122" s="60" t="s">
        <v>12</v>
      </c>
      <c r="H122" s="41" t="s">
        <v>12</v>
      </c>
      <c r="I122" s="41" t="s">
        <v>727</v>
      </c>
      <c r="J122" s="40" t="s">
        <v>141</v>
      </c>
      <c r="K122" s="40">
        <v>122.56</v>
      </c>
      <c r="L122" s="63" t="s">
        <v>740</v>
      </c>
      <c r="M122" s="63" t="s">
        <v>741</v>
      </c>
      <c r="N122" s="63" t="s">
        <v>676</v>
      </c>
      <c r="O122" s="77"/>
      <c r="P122" s="77"/>
      <c r="Q122" s="78">
        <v>121.22</v>
      </c>
      <c r="R122" s="78">
        <v>129.33</v>
      </c>
      <c r="S122" s="78" t="s">
        <v>141</v>
      </c>
      <c r="T122" s="65" t="s">
        <v>397</v>
      </c>
      <c r="U122" s="63" t="s">
        <v>141</v>
      </c>
    </row>
    <row r="123" spans="1:21" ht="165.75">
      <c r="A123" s="77">
        <v>30</v>
      </c>
      <c r="B123" s="79" t="s">
        <v>415</v>
      </c>
      <c r="C123" s="77" t="s">
        <v>12</v>
      </c>
      <c r="D123" s="64" t="s">
        <v>742</v>
      </c>
      <c r="E123" s="60" t="s">
        <v>743</v>
      </c>
      <c r="F123" s="60" t="s">
        <v>175</v>
      </c>
      <c r="G123" s="60" t="s">
        <v>492</v>
      </c>
      <c r="H123" s="41" t="s">
        <v>12</v>
      </c>
      <c r="I123" s="41" t="s">
        <v>744</v>
      </c>
      <c r="J123" s="40" t="s">
        <v>141</v>
      </c>
      <c r="K123" s="40">
        <v>126.74</v>
      </c>
      <c r="L123" s="63" t="s">
        <v>745</v>
      </c>
      <c r="M123" s="63" t="s">
        <v>746</v>
      </c>
      <c r="N123" s="63" t="s">
        <v>736</v>
      </c>
      <c r="O123" s="77"/>
      <c r="P123" s="77"/>
      <c r="Q123" s="78">
        <v>125.17</v>
      </c>
      <c r="R123" s="78">
        <v>164.68</v>
      </c>
      <c r="S123" s="78" t="s">
        <v>141</v>
      </c>
      <c r="T123" s="65" t="s">
        <v>397</v>
      </c>
      <c r="U123" s="63" t="s">
        <v>141</v>
      </c>
    </row>
    <row r="124" spans="1:21" ht="114">
      <c r="A124" s="77">
        <v>1</v>
      </c>
      <c r="B124" s="79" t="s">
        <v>135</v>
      </c>
      <c r="C124" s="77" t="s">
        <v>14</v>
      </c>
      <c r="D124" s="36" t="s">
        <v>789</v>
      </c>
      <c r="E124" s="77" t="s">
        <v>790</v>
      </c>
      <c r="F124" s="79" t="s">
        <v>391</v>
      </c>
      <c r="G124" s="44" t="s">
        <v>791</v>
      </c>
      <c r="H124" s="80" t="s">
        <v>792</v>
      </c>
      <c r="I124" s="42" t="s">
        <v>793</v>
      </c>
      <c r="J124" s="86">
        <v>4</v>
      </c>
      <c r="K124" s="86">
        <v>125.85</v>
      </c>
      <c r="L124" s="58" t="s">
        <v>794</v>
      </c>
      <c r="M124" s="58" t="s">
        <v>795</v>
      </c>
      <c r="N124" s="111" t="s">
        <v>795</v>
      </c>
      <c r="O124" s="86">
        <v>114.04</v>
      </c>
      <c r="P124" s="77"/>
      <c r="Q124" s="77"/>
      <c r="R124" s="86">
        <v>130</v>
      </c>
      <c r="S124" s="86">
        <v>4</v>
      </c>
      <c r="T124" s="85" t="s">
        <v>142</v>
      </c>
      <c r="U124" s="83" t="s">
        <v>143</v>
      </c>
    </row>
    <row r="125" spans="1:21" ht="71.25">
      <c r="A125" s="77">
        <v>2</v>
      </c>
      <c r="B125" s="79" t="s">
        <v>135</v>
      </c>
      <c r="C125" s="77" t="s">
        <v>14</v>
      </c>
      <c r="D125" s="36" t="s">
        <v>796</v>
      </c>
      <c r="E125" s="77" t="s">
        <v>797</v>
      </c>
      <c r="F125" s="79" t="s">
        <v>391</v>
      </c>
      <c r="G125" s="44" t="s">
        <v>791</v>
      </c>
      <c r="H125" s="80" t="s">
        <v>792</v>
      </c>
      <c r="I125" s="42" t="s">
        <v>141</v>
      </c>
      <c r="J125" s="86">
        <v>4.5</v>
      </c>
      <c r="K125" s="86">
        <v>163</v>
      </c>
      <c r="L125" s="58" t="s">
        <v>794</v>
      </c>
      <c r="M125" s="58" t="s">
        <v>795</v>
      </c>
      <c r="N125" s="111" t="s">
        <v>795</v>
      </c>
      <c r="O125" s="86">
        <v>151.92</v>
      </c>
      <c r="P125" s="77"/>
      <c r="Q125" s="77"/>
      <c r="R125" s="86">
        <v>163.06</v>
      </c>
      <c r="S125" s="86">
        <v>4.5</v>
      </c>
      <c r="T125" s="85" t="s">
        <v>142</v>
      </c>
      <c r="U125" s="83" t="s">
        <v>143</v>
      </c>
    </row>
    <row r="126" spans="1:21" ht="71.25">
      <c r="A126" s="77">
        <v>1</v>
      </c>
      <c r="B126" s="79" t="s">
        <v>135</v>
      </c>
      <c r="C126" s="77" t="s">
        <v>14</v>
      </c>
      <c r="D126" s="36" t="s">
        <v>798</v>
      </c>
      <c r="E126" s="77" t="s">
        <v>799</v>
      </c>
      <c r="F126" s="79" t="s">
        <v>391</v>
      </c>
      <c r="G126" s="44" t="s">
        <v>800</v>
      </c>
      <c r="H126" s="80" t="s">
        <v>801</v>
      </c>
      <c r="I126" s="42" t="s">
        <v>141</v>
      </c>
      <c r="J126" s="86">
        <v>3.25</v>
      </c>
      <c r="K126" s="86">
        <v>98</v>
      </c>
      <c r="L126" s="58" t="s">
        <v>802</v>
      </c>
      <c r="M126" s="58" t="s">
        <v>803</v>
      </c>
      <c r="N126" s="111" t="s">
        <v>803</v>
      </c>
      <c r="O126" s="86">
        <v>91.33</v>
      </c>
      <c r="P126" s="77"/>
      <c r="Q126" s="77"/>
      <c r="R126" s="86">
        <v>97.99</v>
      </c>
      <c r="S126" s="86">
        <v>3.25</v>
      </c>
      <c r="T126" s="85" t="s">
        <v>142</v>
      </c>
      <c r="U126" s="83" t="s">
        <v>143</v>
      </c>
    </row>
    <row r="127" spans="1:21" ht="71.25">
      <c r="A127" s="77">
        <v>1</v>
      </c>
      <c r="B127" s="79" t="s">
        <v>135</v>
      </c>
      <c r="C127" s="77" t="s">
        <v>14</v>
      </c>
      <c r="D127" s="36" t="s">
        <v>804</v>
      </c>
      <c r="E127" s="77" t="s">
        <v>805</v>
      </c>
      <c r="F127" s="79" t="s">
        <v>391</v>
      </c>
      <c r="G127" s="44" t="s">
        <v>806</v>
      </c>
      <c r="H127" s="79" t="s">
        <v>807</v>
      </c>
      <c r="I127" s="42" t="s">
        <v>808</v>
      </c>
      <c r="J127" s="86">
        <v>3.25</v>
      </c>
      <c r="K127" s="86">
        <v>98</v>
      </c>
      <c r="L127" s="58" t="s">
        <v>809</v>
      </c>
      <c r="M127" s="111" t="s">
        <v>810</v>
      </c>
      <c r="N127" s="111" t="s">
        <v>810</v>
      </c>
      <c r="O127" s="86">
        <v>89.61</v>
      </c>
      <c r="P127" s="77"/>
      <c r="Q127" s="77"/>
      <c r="R127" s="86">
        <v>97.86</v>
      </c>
      <c r="S127" s="86">
        <v>3.25</v>
      </c>
      <c r="T127" s="85" t="s">
        <v>142</v>
      </c>
      <c r="U127" s="83" t="s">
        <v>143</v>
      </c>
    </row>
    <row r="128" spans="1:21" ht="57">
      <c r="A128" s="77">
        <v>3</v>
      </c>
      <c r="B128" s="79" t="s">
        <v>157</v>
      </c>
      <c r="C128" s="77" t="s">
        <v>14</v>
      </c>
      <c r="D128" s="46" t="s">
        <v>811</v>
      </c>
      <c r="E128" s="84" t="s">
        <v>797</v>
      </c>
      <c r="F128" s="79" t="s">
        <v>159</v>
      </c>
      <c r="G128" s="47" t="s">
        <v>791</v>
      </c>
      <c r="H128" s="47" t="s">
        <v>792</v>
      </c>
      <c r="I128" s="47"/>
      <c r="J128" s="78">
        <v>6</v>
      </c>
      <c r="K128" s="78">
        <v>218.82</v>
      </c>
      <c r="L128" s="48"/>
      <c r="M128" s="48"/>
      <c r="N128" s="87" t="s">
        <v>220</v>
      </c>
      <c r="O128" s="78"/>
      <c r="P128" s="78"/>
      <c r="Q128" s="78"/>
      <c r="R128" s="78">
        <v>190.26</v>
      </c>
      <c r="S128" s="78">
        <v>6</v>
      </c>
      <c r="T128" s="49" t="s">
        <v>142</v>
      </c>
      <c r="U128" s="83" t="s">
        <v>143</v>
      </c>
    </row>
    <row r="129" spans="1:21" ht="71.25">
      <c r="A129" s="77">
        <v>2</v>
      </c>
      <c r="B129" s="79" t="s">
        <v>157</v>
      </c>
      <c r="C129" s="77" t="s">
        <v>14</v>
      </c>
      <c r="D129" s="46" t="s">
        <v>812</v>
      </c>
      <c r="E129" s="84" t="s">
        <v>799</v>
      </c>
      <c r="F129" s="79" t="s">
        <v>159</v>
      </c>
      <c r="G129" s="47" t="s">
        <v>800</v>
      </c>
      <c r="H129" s="79" t="s">
        <v>807</v>
      </c>
      <c r="I129" s="47"/>
      <c r="J129" s="78">
        <v>15</v>
      </c>
      <c r="K129" s="78">
        <v>527.51</v>
      </c>
      <c r="L129" s="48"/>
      <c r="M129" s="48"/>
      <c r="N129" s="87" t="s">
        <v>813</v>
      </c>
      <c r="O129" s="78"/>
      <c r="P129" s="78"/>
      <c r="Q129" s="78"/>
      <c r="R129" s="78">
        <v>540.04</v>
      </c>
      <c r="S129" s="78">
        <v>15</v>
      </c>
      <c r="T129" s="49" t="s">
        <v>142</v>
      </c>
      <c r="U129" s="83" t="s">
        <v>143</v>
      </c>
    </row>
    <row r="130" spans="1:21" ht="75">
      <c r="A130" s="77">
        <v>4</v>
      </c>
      <c r="B130" s="79" t="s">
        <v>176</v>
      </c>
      <c r="C130" s="77" t="s">
        <v>14</v>
      </c>
      <c r="D130" s="37" t="s">
        <v>814</v>
      </c>
      <c r="E130" s="84" t="s">
        <v>790</v>
      </c>
      <c r="F130" s="79" t="s">
        <v>159</v>
      </c>
      <c r="G130" s="79" t="s">
        <v>791</v>
      </c>
      <c r="H130" s="79" t="s">
        <v>792</v>
      </c>
      <c r="I130" s="79" t="s">
        <v>815</v>
      </c>
      <c r="J130" s="51">
        <v>12.2</v>
      </c>
      <c r="K130" s="51">
        <v>590</v>
      </c>
      <c r="L130" s="80" t="s">
        <v>816</v>
      </c>
      <c r="M130" s="80" t="s">
        <v>817</v>
      </c>
      <c r="N130" s="125" t="s">
        <v>818</v>
      </c>
      <c r="O130" s="51">
        <v>417.95</v>
      </c>
      <c r="P130" s="51">
        <v>324.62</v>
      </c>
      <c r="Q130" s="51">
        <f aca="true" t="shared" si="7" ref="Q130:Q142">SUM(O130:P130)</f>
        <v>742.5699999999999</v>
      </c>
      <c r="R130" s="51">
        <v>903.27</v>
      </c>
      <c r="S130" s="51">
        <v>12.2</v>
      </c>
      <c r="T130" s="83" t="s">
        <v>142</v>
      </c>
      <c r="U130" s="83" t="s">
        <v>143</v>
      </c>
    </row>
    <row r="131" spans="1:21" ht="75">
      <c r="A131" s="77">
        <v>5</v>
      </c>
      <c r="B131" s="79" t="s">
        <v>176</v>
      </c>
      <c r="C131" s="77" t="s">
        <v>14</v>
      </c>
      <c r="D131" s="37" t="s">
        <v>819</v>
      </c>
      <c r="E131" s="84" t="s">
        <v>805</v>
      </c>
      <c r="F131" s="79" t="s">
        <v>159</v>
      </c>
      <c r="G131" s="79" t="s">
        <v>791</v>
      </c>
      <c r="H131" s="79" t="s">
        <v>792</v>
      </c>
      <c r="I131" s="79" t="s">
        <v>820</v>
      </c>
      <c r="J131" s="51">
        <v>5</v>
      </c>
      <c r="K131" s="51">
        <v>169</v>
      </c>
      <c r="L131" s="80" t="s">
        <v>821</v>
      </c>
      <c r="M131" s="80" t="s">
        <v>822</v>
      </c>
      <c r="N131" s="125" t="s">
        <v>526</v>
      </c>
      <c r="O131" s="51">
        <v>191.13</v>
      </c>
      <c r="P131" s="51">
        <v>64.01</v>
      </c>
      <c r="Q131" s="51">
        <f t="shared" si="7"/>
        <v>255.14</v>
      </c>
      <c r="R131" s="51">
        <v>414.85</v>
      </c>
      <c r="S131" s="51">
        <v>5</v>
      </c>
      <c r="T131" s="83" t="s">
        <v>142</v>
      </c>
      <c r="U131" s="83" t="s">
        <v>143</v>
      </c>
    </row>
    <row r="132" spans="1:21" ht="85.5">
      <c r="A132" s="77">
        <v>6</v>
      </c>
      <c r="B132" s="79" t="s">
        <v>185</v>
      </c>
      <c r="C132" s="77" t="s">
        <v>14</v>
      </c>
      <c r="D132" s="36" t="s">
        <v>823</v>
      </c>
      <c r="E132" s="84" t="s">
        <v>790</v>
      </c>
      <c r="F132" s="79" t="s">
        <v>135</v>
      </c>
      <c r="G132" s="79" t="s">
        <v>791</v>
      </c>
      <c r="H132" s="79" t="s">
        <v>792</v>
      </c>
      <c r="I132" s="79" t="s">
        <v>824</v>
      </c>
      <c r="J132" s="51">
        <v>7.83</v>
      </c>
      <c r="K132" s="51">
        <v>119.89</v>
      </c>
      <c r="L132" s="80" t="s">
        <v>825</v>
      </c>
      <c r="M132" s="80" t="s">
        <v>826</v>
      </c>
      <c r="N132" s="80" t="s">
        <v>230</v>
      </c>
      <c r="O132" s="51">
        <v>201.25</v>
      </c>
      <c r="P132" s="51">
        <v>84.53</v>
      </c>
      <c r="Q132" s="51">
        <f t="shared" si="7"/>
        <v>285.78</v>
      </c>
      <c r="R132" s="51">
        <v>285.26</v>
      </c>
      <c r="S132" s="51">
        <v>7.83</v>
      </c>
      <c r="T132" s="83" t="s">
        <v>142</v>
      </c>
      <c r="U132" s="83" t="s">
        <v>143</v>
      </c>
    </row>
    <row r="133" spans="1:21" ht="72">
      <c r="A133" s="77">
        <v>3</v>
      </c>
      <c r="B133" s="79" t="s">
        <v>185</v>
      </c>
      <c r="C133" s="77" t="s">
        <v>14</v>
      </c>
      <c r="D133" s="36" t="s">
        <v>827</v>
      </c>
      <c r="E133" s="84" t="s">
        <v>797</v>
      </c>
      <c r="F133" s="79" t="s">
        <v>135</v>
      </c>
      <c r="G133" s="79" t="s">
        <v>800</v>
      </c>
      <c r="H133" s="80" t="s">
        <v>801</v>
      </c>
      <c r="I133" s="79" t="s">
        <v>232</v>
      </c>
      <c r="J133" s="51">
        <v>14.81</v>
      </c>
      <c r="K133" s="51">
        <v>171.43</v>
      </c>
      <c r="L133" s="88" t="s">
        <v>828</v>
      </c>
      <c r="M133" s="80" t="s">
        <v>829</v>
      </c>
      <c r="N133" s="80" t="s">
        <v>230</v>
      </c>
      <c r="O133" s="51">
        <v>192.78</v>
      </c>
      <c r="P133" s="51">
        <v>279.62</v>
      </c>
      <c r="Q133" s="51">
        <f t="shared" si="7"/>
        <v>472.4</v>
      </c>
      <c r="R133" s="51">
        <v>464.62</v>
      </c>
      <c r="S133" s="51">
        <v>14.81</v>
      </c>
      <c r="T133" s="83" t="s">
        <v>142</v>
      </c>
      <c r="U133" s="83" t="s">
        <v>143</v>
      </c>
    </row>
    <row r="134" spans="1:21" ht="57">
      <c r="A134" s="77">
        <v>4</v>
      </c>
      <c r="B134" s="79" t="s">
        <v>185</v>
      </c>
      <c r="C134" s="77" t="s">
        <v>14</v>
      </c>
      <c r="D134" s="36" t="s">
        <v>830</v>
      </c>
      <c r="E134" s="84" t="s">
        <v>799</v>
      </c>
      <c r="F134" s="79" t="s">
        <v>135</v>
      </c>
      <c r="G134" s="79" t="s">
        <v>800</v>
      </c>
      <c r="H134" s="79" t="s">
        <v>807</v>
      </c>
      <c r="I134" s="79" t="s">
        <v>831</v>
      </c>
      <c r="J134" s="51">
        <v>26.78</v>
      </c>
      <c r="K134" s="51">
        <v>203.94</v>
      </c>
      <c r="L134" s="80" t="s">
        <v>832</v>
      </c>
      <c r="M134" s="80" t="s">
        <v>833</v>
      </c>
      <c r="N134" s="80" t="s">
        <v>526</v>
      </c>
      <c r="O134" s="51">
        <v>232.49</v>
      </c>
      <c r="P134" s="51">
        <v>83.59</v>
      </c>
      <c r="Q134" s="51">
        <f t="shared" si="7"/>
        <v>316.08000000000004</v>
      </c>
      <c r="R134" s="51">
        <v>316.93</v>
      </c>
      <c r="S134" s="51">
        <v>26.78</v>
      </c>
      <c r="T134" s="83" t="s">
        <v>142</v>
      </c>
      <c r="U134" s="83" t="s">
        <v>143</v>
      </c>
    </row>
    <row r="135" spans="1:21" ht="57">
      <c r="A135" s="77">
        <v>5</v>
      </c>
      <c r="B135" s="79" t="s">
        <v>185</v>
      </c>
      <c r="C135" s="77" t="s">
        <v>14</v>
      </c>
      <c r="D135" s="36" t="s">
        <v>834</v>
      </c>
      <c r="E135" s="84" t="s">
        <v>805</v>
      </c>
      <c r="F135" s="79" t="s">
        <v>135</v>
      </c>
      <c r="G135" s="79" t="s">
        <v>800</v>
      </c>
      <c r="H135" s="79" t="s">
        <v>807</v>
      </c>
      <c r="I135" s="79" t="s">
        <v>835</v>
      </c>
      <c r="J135" s="51">
        <v>11.95</v>
      </c>
      <c r="K135" s="51">
        <v>111.92</v>
      </c>
      <c r="L135" s="88" t="s">
        <v>836</v>
      </c>
      <c r="M135" s="80" t="s">
        <v>837</v>
      </c>
      <c r="N135" s="80" t="s">
        <v>230</v>
      </c>
      <c r="O135" s="51">
        <v>110.32</v>
      </c>
      <c r="P135" s="51">
        <v>77.11</v>
      </c>
      <c r="Q135" s="51">
        <f t="shared" si="7"/>
        <v>187.43</v>
      </c>
      <c r="R135" s="51">
        <f>164.77+23.66</f>
        <v>188.43</v>
      </c>
      <c r="S135" s="51">
        <v>11.95</v>
      </c>
      <c r="T135" s="83" t="s">
        <v>142</v>
      </c>
      <c r="U135" s="83" t="s">
        <v>143</v>
      </c>
    </row>
    <row r="136" spans="1:21" ht="156.75">
      <c r="A136" s="77">
        <v>6</v>
      </c>
      <c r="B136" s="79" t="s">
        <v>185</v>
      </c>
      <c r="C136" s="77" t="s">
        <v>14</v>
      </c>
      <c r="D136" s="36" t="s">
        <v>838</v>
      </c>
      <c r="E136" s="84" t="s">
        <v>839</v>
      </c>
      <c r="F136" s="79" t="s">
        <v>175</v>
      </c>
      <c r="G136" s="79" t="s">
        <v>800</v>
      </c>
      <c r="H136" s="79" t="s">
        <v>807</v>
      </c>
      <c r="I136" s="79" t="s">
        <v>831</v>
      </c>
      <c r="J136" s="51" t="s">
        <v>141</v>
      </c>
      <c r="K136" s="51">
        <v>51.15</v>
      </c>
      <c r="L136" s="88" t="s">
        <v>155</v>
      </c>
      <c r="M136" s="80" t="s">
        <v>840</v>
      </c>
      <c r="N136" s="80" t="s">
        <v>841</v>
      </c>
      <c r="O136" s="51">
        <v>58.56</v>
      </c>
      <c r="P136" s="51">
        <v>50.87</v>
      </c>
      <c r="Q136" s="51">
        <f t="shared" si="7"/>
        <v>109.43</v>
      </c>
      <c r="R136" s="51">
        <v>101.86</v>
      </c>
      <c r="S136" s="51" t="s">
        <v>141</v>
      </c>
      <c r="T136" s="83" t="s">
        <v>142</v>
      </c>
      <c r="U136" s="83" t="s">
        <v>261</v>
      </c>
    </row>
    <row r="137" spans="1:21" ht="105">
      <c r="A137" s="77">
        <v>7</v>
      </c>
      <c r="B137" s="79" t="s">
        <v>202</v>
      </c>
      <c r="C137" s="77" t="s">
        <v>14</v>
      </c>
      <c r="D137" s="37" t="s">
        <v>842</v>
      </c>
      <c r="E137" s="84" t="s">
        <v>790</v>
      </c>
      <c r="F137" s="79" t="s">
        <v>135</v>
      </c>
      <c r="G137" s="79" t="s">
        <v>800</v>
      </c>
      <c r="H137" s="79" t="s">
        <v>807</v>
      </c>
      <c r="I137" s="79" t="s">
        <v>843</v>
      </c>
      <c r="J137" s="80">
        <v>3.22</v>
      </c>
      <c r="K137" s="80">
        <v>58.78</v>
      </c>
      <c r="L137" s="80" t="s">
        <v>844</v>
      </c>
      <c r="M137" s="80" t="s">
        <v>845</v>
      </c>
      <c r="N137" s="80" t="s">
        <v>543</v>
      </c>
      <c r="O137" s="80">
        <v>57.9</v>
      </c>
      <c r="P137" s="80">
        <v>91.89</v>
      </c>
      <c r="Q137" s="80">
        <f t="shared" si="7"/>
        <v>149.79</v>
      </c>
      <c r="R137" s="80">
        <f>77.68+0.14</f>
        <v>77.82000000000001</v>
      </c>
      <c r="S137" s="80">
        <v>3.22</v>
      </c>
      <c r="T137" s="85" t="s">
        <v>142</v>
      </c>
      <c r="U137" s="85" t="s">
        <v>143</v>
      </c>
    </row>
    <row r="138" spans="1:21" ht="90">
      <c r="A138" s="77">
        <v>2</v>
      </c>
      <c r="B138" s="79" t="s">
        <v>202</v>
      </c>
      <c r="C138" s="77" t="s">
        <v>14</v>
      </c>
      <c r="D138" s="37" t="s">
        <v>846</v>
      </c>
      <c r="E138" s="84" t="s">
        <v>797</v>
      </c>
      <c r="F138" s="79" t="s">
        <v>135</v>
      </c>
      <c r="G138" s="79" t="s">
        <v>806</v>
      </c>
      <c r="H138" s="79" t="s">
        <v>807</v>
      </c>
      <c r="I138" s="79" t="s">
        <v>808</v>
      </c>
      <c r="J138" s="80">
        <v>8.72</v>
      </c>
      <c r="K138" s="80">
        <v>166.08</v>
      </c>
      <c r="L138" s="80" t="s">
        <v>847</v>
      </c>
      <c r="M138" s="80" t="s">
        <v>848</v>
      </c>
      <c r="N138" s="80" t="s">
        <v>526</v>
      </c>
      <c r="O138" s="80">
        <v>177.87</v>
      </c>
      <c r="P138" s="80">
        <v>126.61</v>
      </c>
      <c r="Q138" s="80">
        <f t="shared" si="7"/>
        <v>304.48</v>
      </c>
      <c r="R138" s="80">
        <f>288.44+0.45</f>
        <v>288.89</v>
      </c>
      <c r="S138" s="80">
        <v>8.72</v>
      </c>
      <c r="T138" s="85" t="s">
        <v>142</v>
      </c>
      <c r="U138" s="85" t="s">
        <v>143</v>
      </c>
    </row>
    <row r="139" spans="1:21" ht="75">
      <c r="A139" s="77">
        <v>8</v>
      </c>
      <c r="B139" s="79" t="s">
        <v>202</v>
      </c>
      <c r="C139" s="77" t="s">
        <v>14</v>
      </c>
      <c r="D139" s="37" t="s">
        <v>849</v>
      </c>
      <c r="E139" s="84" t="s">
        <v>805</v>
      </c>
      <c r="F139" s="79" t="s">
        <v>135</v>
      </c>
      <c r="G139" s="79" t="s">
        <v>800</v>
      </c>
      <c r="H139" s="80" t="s">
        <v>801</v>
      </c>
      <c r="I139" s="79" t="s">
        <v>232</v>
      </c>
      <c r="J139" s="80">
        <v>15.77</v>
      </c>
      <c r="K139" s="80">
        <v>300.52</v>
      </c>
      <c r="L139" s="80" t="s">
        <v>850</v>
      </c>
      <c r="M139" s="80" t="s">
        <v>851</v>
      </c>
      <c r="N139" s="80" t="s">
        <v>308</v>
      </c>
      <c r="O139" s="80">
        <v>286.06</v>
      </c>
      <c r="P139" s="80">
        <v>90.04</v>
      </c>
      <c r="Q139" s="80">
        <f t="shared" si="7"/>
        <v>376.1</v>
      </c>
      <c r="R139" s="80">
        <f>354.35+27.08</f>
        <v>381.43</v>
      </c>
      <c r="S139" s="80">
        <v>15.77</v>
      </c>
      <c r="T139" s="85" t="s">
        <v>142</v>
      </c>
      <c r="U139" s="85" t="s">
        <v>143</v>
      </c>
    </row>
    <row r="140" spans="1:21" ht="165">
      <c r="A140" s="77">
        <v>9</v>
      </c>
      <c r="B140" s="79" t="s">
        <v>202</v>
      </c>
      <c r="C140" s="77" t="s">
        <v>14</v>
      </c>
      <c r="D140" s="37" t="s">
        <v>852</v>
      </c>
      <c r="E140" s="84" t="s">
        <v>853</v>
      </c>
      <c r="F140" s="79" t="s">
        <v>135</v>
      </c>
      <c r="G140" s="79" t="s">
        <v>800</v>
      </c>
      <c r="H140" s="79" t="s">
        <v>807</v>
      </c>
      <c r="I140" s="79" t="s">
        <v>831</v>
      </c>
      <c r="J140" s="80">
        <v>19.94</v>
      </c>
      <c r="K140" s="80">
        <v>383.14</v>
      </c>
      <c r="L140" s="80" t="s">
        <v>854</v>
      </c>
      <c r="M140" s="80" t="s">
        <v>855</v>
      </c>
      <c r="N140" s="80" t="s">
        <v>249</v>
      </c>
      <c r="O140" s="80">
        <v>429.85</v>
      </c>
      <c r="P140" s="80">
        <v>123.78</v>
      </c>
      <c r="Q140" s="80">
        <f t="shared" si="7"/>
        <v>553.63</v>
      </c>
      <c r="R140" s="80">
        <f>423.82+135.14</f>
        <v>558.96</v>
      </c>
      <c r="S140" s="80">
        <v>19.94</v>
      </c>
      <c r="T140" s="85" t="s">
        <v>142</v>
      </c>
      <c r="U140" s="85" t="s">
        <v>143</v>
      </c>
    </row>
    <row r="141" spans="1:21" ht="75">
      <c r="A141" s="77">
        <v>10</v>
      </c>
      <c r="B141" s="79" t="s">
        <v>202</v>
      </c>
      <c r="C141" s="77" t="s">
        <v>14</v>
      </c>
      <c r="D141" s="37" t="s">
        <v>856</v>
      </c>
      <c r="E141" s="84" t="s">
        <v>857</v>
      </c>
      <c r="F141" s="79" t="s">
        <v>135</v>
      </c>
      <c r="G141" s="79" t="s">
        <v>800</v>
      </c>
      <c r="H141" s="80" t="s">
        <v>801</v>
      </c>
      <c r="I141" s="79" t="s">
        <v>232</v>
      </c>
      <c r="J141" s="80">
        <v>10.84</v>
      </c>
      <c r="K141" s="80">
        <v>182.97</v>
      </c>
      <c r="L141" s="80" t="s">
        <v>858</v>
      </c>
      <c r="M141" s="80" t="s">
        <v>214</v>
      </c>
      <c r="N141" s="80" t="s">
        <v>230</v>
      </c>
      <c r="O141" s="80">
        <v>179.72</v>
      </c>
      <c r="P141" s="80">
        <v>64.22</v>
      </c>
      <c r="Q141" s="80">
        <f t="shared" si="7"/>
        <v>243.94</v>
      </c>
      <c r="R141" s="80">
        <f>223.67+73.32</f>
        <v>296.99</v>
      </c>
      <c r="S141" s="80">
        <v>10.84</v>
      </c>
      <c r="T141" s="85" t="s">
        <v>142</v>
      </c>
      <c r="U141" s="85" t="s">
        <v>143</v>
      </c>
    </row>
    <row r="142" spans="1:21" ht="75">
      <c r="A142" s="77">
        <v>11</v>
      </c>
      <c r="B142" s="79" t="s">
        <v>202</v>
      </c>
      <c r="C142" s="77" t="s">
        <v>14</v>
      </c>
      <c r="D142" s="37" t="s">
        <v>859</v>
      </c>
      <c r="E142" s="84" t="s">
        <v>860</v>
      </c>
      <c r="F142" s="79" t="s">
        <v>135</v>
      </c>
      <c r="G142" s="79" t="s">
        <v>800</v>
      </c>
      <c r="H142" s="79" t="s">
        <v>807</v>
      </c>
      <c r="I142" s="79" t="s">
        <v>831</v>
      </c>
      <c r="J142" s="80">
        <v>25.66</v>
      </c>
      <c r="K142" s="80">
        <v>557.67</v>
      </c>
      <c r="L142" s="80" t="s">
        <v>861</v>
      </c>
      <c r="M142" s="80" t="s">
        <v>862</v>
      </c>
      <c r="N142" s="80" t="s">
        <v>249</v>
      </c>
      <c r="O142" s="80">
        <v>467.22</v>
      </c>
      <c r="P142" s="80">
        <v>90.42</v>
      </c>
      <c r="Q142" s="80">
        <f t="shared" si="7"/>
        <v>557.64</v>
      </c>
      <c r="R142" s="80">
        <f>444.44+114.91</f>
        <v>559.35</v>
      </c>
      <c r="S142" s="80">
        <v>25.66</v>
      </c>
      <c r="T142" s="85" t="s">
        <v>142</v>
      </c>
      <c r="U142" s="85" t="s">
        <v>143</v>
      </c>
    </row>
    <row r="143" spans="1:21" ht="71.25">
      <c r="A143" s="77">
        <v>12</v>
      </c>
      <c r="B143" s="79" t="s">
        <v>221</v>
      </c>
      <c r="C143" s="77" t="s">
        <v>14</v>
      </c>
      <c r="D143" s="36" t="s">
        <v>863</v>
      </c>
      <c r="E143" s="51" t="s">
        <v>790</v>
      </c>
      <c r="F143" s="79" t="s">
        <v>135</v>
      </c>
      <c r="G143" s="52" t="s">
        <v>800</v>
      </c>
      <c r="H143" s="79" t="s">
        <v>807</v>
      </c>
      <c r="I143" s="79" t="s">
        <v>864</v>
      </c>
      <c r="J143" s="80">
        <v>16.89</v>
      </c>
      <c r="K143" s="80">
        <v>380.55</v>
      </c>
      <c r="L143" s="80" t="s">
        <v>816</v>
      </c>
      <c r="M143" s="80" t="s">
        <v>817</v>
      </c>
      <c r="N143" s="80" t="s">
        <v>523</v>
      </c>
      <c r="O143" s="80">
        <v>349.13</v>
      </c>
      <c r="P143" s="80">
        <v>136.3</v>
      </c>
      <c r="Q143" s="80">
        <f aca="true" t="shared" si="8" ref="Q143:Q148">SUM(O143:P143)</f>
        <v>485.43</v>
      </c>
      <c r="R143" s="80">
        <f>443.11+43.87+24.5</f>
        <v>511.48</v>
      </c>
      <c r="S143" s="80">
        <v>16.89</v>
      </c>
      <c r="T143" s="83" t="s">
        <v>142</v>
      </c>
      <c r="U143" s="85" t="s">
        <v>143</v>
      </c>
    </row>
    <row r="144" spans="1:21" ht="71.25">
      <c r="A144" s="77">
        <v>7</v>
      </c>
      <c r="B144" s="79" t="s">
        <v>221</v>
      </c>
      <c r="C144" s="77" t="s">
        <v>14</v>
      </c>
      <c r="D144" s="36" t="s">
        <v>865</v>
      </c>
      <c r="E144" s="51" t="s">
        <v>797</v>
      </c>
      <c r="F144" s="79" t="s">
        <v>135</v>
      </c>
      <c r="G144" s="52" t="s">
        <v>791</v>
      </c>
      <c r="H144" s="52" t="s">
        <v>792</v>
      </c>
      <c r="I144" s="79" t="s">
        <v>866</v>
      </c>
      <c r="J144" s="80">
        <v>25</v>
      </c>
      <c r="K144" s="80">
        <v>570.77</v>
      </c>
      <c r="L144" s="80" t="s">
        <v>867</v>
      </c>
      <c r="M144" s="80" t="s">
        <v>868</v>
      </c>
      <c r="N144" s="80" t="s">
        <v>869</v>
      </c>
      <c r="O144" s="80">
        <v>558.72</v>
      </c>
      <c r="P144" s="80">
        <v>5.87</v>
      </c>
      <c r="Q144" s="80">
        <f t="shared" si="8"/>
        <v>564.59</v>
      </c>
      <c r="R144" s="80">
        <f>507.95+2.13</f>
        <v>510.08</v>
      </c>
      <c r="S144" s="80">
        <v>25</v>
      </c>
      <c r="T144" s="83" t="s">
        <v>142</v>
      </c>
      <c r="U144" s="85" t="s">
        <v>143</v>
      </c>
    </row>
    <row r="145" spans="1:21" ht="71.25">
      <c r="A145" s="77">
        <v>13</v>
      </c>
      <c r="B145" s="79" t="s">
        <v>221</v>
      </c>
      <c r="C145" s="77" t="s">
        <v>14</v>
      </c>
      <c r="D145" s="36" t="s">
        <v>870</v>
      </c>
      <c r="E145" s="51" t="s">
        <v>799</v>
      </c>
      <c r="F145" s="79" t="s">
        <v>135</v>
      </c>
      <c r="G145" s="52" t="s">
        <v>800</v>
      </c>
      <c r="H145" s="79" t="s">
        <v>807</v>
      </c>
      <c r="I145" s="79" t="s">
        <v>835</v>
      </c>
      <c r="J145" s="80">
        <v>6.5</v>
      </c>
      <c r="K145" s="80">
        <v>152.55</v>
      </c>
      <c r="L145" s="80" t="s">
        <v>871</v>
      </c>
      <c r="M145" s="80" t="s">
        <v>872</v>
      </c>
      <c r="N145" s="80" t="s">
        <v>873</v>
      </c>
      <c r="O145" s="80">
        <v>150.74</v>
      </c>
      <c r="P145" s="80"/>
      <c r="Q145" s="80">
        <f t="shared" si="8"/>
        <v>150.74</v>
      </c>
      <c r="R145" s="80">
        <f>100.98+49.62</f>
        <v>150.6</v>
      </c>
      <c r="S145" s="80">
        <v>6.5</v>
      </c>
      <c r="T145" s="83" t="s">
        <v>142</v>
      </c>
      <c r="U145" s="85" t="s">
        <v>143</v>
      </c>
    </row>
    <row r="146" spans="1:21" ht="72">
      <c r="A146" s="77">
        <v>14</v>
      </c>
      <c r="B146" s="79" t="s">
        <v>221</v>
      </c>
      <c r="C146" s="77" t="s">
        <v>14</v>
      </c>
      <c r="D146" s="36" t="s">
        <v>878</v>
      </c>
      <c r="E146" s="84" t="s">
        <v>853</v>
      </c>
      <c r="F146" s="79" t="s">
        <v>135</v>
      </c>
      <c r="G146" s="52" t="s">
        <v>800</v>
      </c>
      <c r="H146" s="80" t="s">
        <v>801</v>
      </c>
      <c r="I146" s="79" t="s">
        <v>232</v>
      </c>
      <c r="J146" s="80">
        <v>14.9</v>
      </c>
      <c r="K146" s="80">
        <v>245.36</v>
      </c>
      <c r="L146" s="80" t="s">
        <v>862</v>
      </c>
      <c r="M146" s="80" t="s">
        <v>879</v>
      </c>
      <c r="N146" s="80" t="s">
        <v>869</v>
      </c>
      <c r="O146" s="80">
        <v>321.95</v>
      </c>
      <c r="P146" s="80"/>
      <c r="Q146" s="80">
        <f t="shared" si="8"/>
        <v>321.95</v>
      </c>
      <c r="R146" s="80">
        <f>313.55+3.43+5.65</f>
        <v>322.63</v>
      </c>
      <c r="S146" s="80">
        <v>14.9</v>
      </c>
      <c r="T146" s="83" t="s">
        <v>142</v>
      </c>
      <c r="U146" s="85" t="s">
        <v>143</v>
      </c>
    </row>
    <row r="147" spans="1:21" ht="142.5">
      <c r="A147" s="77">
        <v>8</v>
      </c>
      <c r="B147" s="79" t="s">
        <v>221</v>
      </c>
      <c r="C147" s="77" t="s">
        <v>14</v>
      </c>
      <c r="D147" s="36" t="s">
        <v>880</v>
      </c>
      <c r="E147" s="51" t="s">
        <v>881</v>
      </c>
      <c r="F147" s="79" t="s">
        <v>135</v>
      </c>
      <c r="G147" s="52" t="s">
        <v>791</v>
      </c>
      <c r="H147" s="52" t="s">
        <v>792</v>
      </c>
      <c r="I147" s="79" t="s">
        <v>824</v>
      </c>
      <c r="J147" s="80">
        <v>8.12</v>
      </c>
      <c r="K147" s="80">
        <v>171.73</v>
      </c>
      <c r="L147" s="80" t="s">
        <v>882</v>
      </c>
      <c r="M147" s="80" t="s">
        <v>883</v>
      </c>
      <c r="N147" s="80" t="s">
        <v>869</v>
      </c>
      <c r="O147" s="80">
        <v>162.36</v>
      </c>
      <c r="P147" s="80"/>
      <c r="Q147" s="80">
        <f t="shared" si="8"/>
        <v>162.36</v>
      </c>
      <c r="R147" s="80">
        <v>152.65</v>
      </c>
      <c r="S147" s="80">
        <v>8.12</v>
      </c>
      <c r="T147" s="83" t="s">
        <v>142</v>
      </c>
      <c r="U147" s="85" t="s">
        <v>143</v>
      </c>
    </row>
    <row r="148" spans="1:21" ht="71.25">
      <c r="A148" s="77">
        <v>15</v>
      </c>
      <c r="B148" s="79" t="s">
        <v>221</v>
      </c>
      <c r="C148" s="77" t="s">
        <v>14</v>
      </c>
      <c r="D148" s="36" t="s">
        <v>884</v>
      </c>
      <c r="E148" s="84" t="s">
        <v>857</v>
      </c>
      <c r="F148" s="79" t="s">
        <v>135</v>
      </c>
      <c r="G148" s="52" t="s">
        <v>800</v>
      </c>
      <c r="H148" s="79" t="s">
        <v>807</v>
      </c>
      <c r="I148" s="79" t="s">
        <v>843</v>
      </c>
      <c r="J148" s="80">
        <v>6.01</v>
      </c>
      <c r="K148" s="80">
        <v>115.81</v>
      </c>
      <c r="L148" s="80" t="s">
        <v>871</v>
      </c>
      <c r="M148" s="80" t="s">
        <v>885</v>
      </c>
      <c r="N148" s="80" t="s">
        <v>530</v>
      </c>
      <c r="O148" s="80">
        <v>113.98</v>
      </c>
      <c r="P148" s="80">
        <v>67.59</v>
      </c>
      <c r="Q148" s="80">
        <f t="shared" si="8"/>
        <v>181.57</v>
      </c>
      <c r="R148" s="80">
        <f>162.87+19.98</f>
        <v>182.85</v>
      </c>
      <c r="S148" s="80">
        <v>6.01</v>
      </c>
      <c r="T148" s="83" t="s">
        <v>142</v>
      </c>
      <c r="U148" s="85" t="s">
        <v>143</v>
      </c>
    </row>
    <row r="149" spans="1:21" ht="114">
      <c r="A149" s="77">
        <v>9</v>
      </c>
      <c r="B149" s="79" t="s">
        <v>244</v>
      </c>
      <c r="C149" s="77" t="s">
        <v>14</v>
      </c>
      <c r="D149" s="36" t="s">
        <v>890</v>
      </c>
      <c r="E149" s="51" t="s">
        <v>797</v>
      </c>
      <c r="F149" s="79" t="s">
        <v>135</v>
      </c>
      <c r="G149" s="53" t="s">
        <v>791</v>
      </c>
      <c r="H149" s="53" t="s">
        <v>792</v>
      </c>
      <c r="I149" s="81" t="s">
        <v>891</v>
      </c>
      <c r="J149" s="80">
        <v>10.09</v>
      </c>
      <c r="K149" s="80">
        <v>203.23</v>
      </c>
      <c r="L149" s="80" t="s">
        <v>825</v>
      </c>
      <c r="M149" s="80" t="s">
        <v>892</v>
      </c>
      <c r="N149" s="80" t="s">
        <v>893</v>
      </c>
      <c r="O149" s="80">
        <v>237.45</v>
      </c>
      <c r="P149" s="80"/>
      <c r="Q149" s="80">
        <f>SUM(O149:P149)</f>
        <v>237.45</v>
      </c>
      <c r="R149" s="80">
        <f>220.66+0.05</f>
        <v>220.71</v>
      </c>
      <c r="S149" s="80">
        <v>10.09</v>
      </c>
      <c r="T149" s="85" t="s">
        <v>142</v>
      </c>
      <c r="U149" s="83" t="s">
        <v>261</v>
      </c>
    </row>
    <row r="150" spans="1:21" ht="57">
      <c r="A150" s="77">
        <v>16</v>
      </c>
      <c r="B150" s="79" t="s">
        <v>244</v>
      </c>
      <c r="C150" s="77" t="s">
        <v>14</v>
      </c>
      <c r="D150" s="36" t="s">
        <v>894</v>
      </c>
      <c r="E150" s="51" t="s">
        <v>805</v>
      </c>
      <c r="F150" s="79" t="s">
        <v>135</v>
      </c>
      <c r="G150" s="53" t="s">
        <v>800</v>
      </c>
      <c r="H150" s="80" t="s">
        <v>801</v>
      </c>
      <c r="I150" s="81" t="s">
        <v>895</v>
      </c>
      <c r="J150" s="80">
        <v>4.7</v>
      </c>
      <c r="K150" s="80">
        <v>118.2</v>
      </c>
      <c r="L150" s="80" t="s">
        <v>896</v>
      </c>
      <c r="M150" s="80" t="s">
        <v>897</v>
      </c>
      <c r="N150" s="80" t="s">
        <v>893</v>
      </c>
      <c r="O150" s="80">
        <v>94.19</v>
      </c>
      <c r="P150" s="80"/>
      <c r="Q150" s="80">
        <f>SUM(O150:P150)</f>
        <v>94.19</v>
      </c>
      <c r="R150" s="80">
        <f>76.15+13.87</f>
        <v>90.02000000000001</v>
      </c>
      <c r="S150" s="80">
        <v>4.7</v>
      </c>
      <c r="T150" s="85" t="s">
        <v>142</v>
      </c>
      <c r="U150" s="83" t="s">
        <v>143</v>
      </c>
    </row>
    <row r="151" spans="1:21" ht="71.25">
      <c r="A151" s="77">
        <v>10</v>
      </c>
      <c r="B151" s="79" t="s">
        <v>244</v>
      </c>
      <c r="C151" s="77" t="s">
        <v>14</v>
      </c>
      <c r="D151" s="36" t="s">
        <v>898</v>
      </c>
      <c r="E151" s="51" t="s">
        <v>881</v>
      </c>
      <c r="F151" s="79" t="s">
        <v>135</v>
      </c>
      <c r="G151" s="53" t="s">
        <v>791</v>
      </c>
      <c r="H151" s="53" t="s">
        <v>792</v>
      </c>
      <c r="I151" s="81" t="s">
        <v>899</v>
      </c>
      <c r="J151" s="80">
        <v>18.3</v>
      </c>
      <c r="K151" s="80">
        <v>507.38</v>
      </c>
      <c r="L151" s="80" t="s">
        <v>825</v>
      </c>
      <c r="M151" s="80" t="s">
        <v>900</v>
      </c>
      <c r="N151" s="80" t="s">
        <v>893</v>
      </c>
      <c r="O151" s="80">
        <v>496.51</v>
      </c>
      <c r="P151" s="80">
        <v>160.42</v>
      </c>
      <c r="Q151" s="80">
        <f>SUM(O151:P151)</f>
        <v>656.93</v>
      </c>
      <c r="R151" s="80">
        <v>656.35</v>
      </c>
      <c r="S151" s="80">
        <v>20.1</v>
      </c>
      <c r="T151" s="85" t="s">
        <v>142</v>
      </c>
      <c r="U151" s="83" t="s">
        <v>143</v>
      </c>
    </row>
    <row r="152" spans="1:21" ht="85.5">
      <c r="A152" s="77">
        <v>17</v>
      </c>
      <c r="B152" s="79" t="s">
        <v>244</v>
      </c>
      <c r="C152" s="77" t="s">
        <v>14</v>
      </c>
      <c r="D152" s="36" t="s">
        <v>901</v>
      </c>
      <c r="E152" s="51" t="s">
        <v>857</v>
      </c>
      <c r="F152" s="79" t="s">
        <v>135</v>
      </c>
      <c r="G152" s="53" t="s">
        <v>800</v>
      </c>
      <c r="H152" s="53" t="s">
        <v>902</v>
      </c>
      <c r="I152" s="81" t="s">
        <v>903</v>
      </c>
      <c r="J152" s="80">
        <v>11.43</v>
      </c>
      <c r="K152" s="80">
        <v>270.98</v>
      </c>
      <c r="L152" s="80" t="s">
        <v>888</v>
      </c>
      <c r="M152" s="80" t="s">
        <v>904</v>
      </c>
      <c r="N152" s="80" t="s">
        <v>278</v>
      </c>
      <c r="O152" s="80">
        <v>212.74</v>
      </c>
      <c r="P152" s="84"/>
      <c r="Q152" s="80">
        <f>SUM(O152:P152)</f>
        <v>212.74</v>
      </c>
      <c r="R152" s="80">
        <f>120.97+87.54</f>
        <v>208.51</v>
      </c>
      <c r="S152" s="80">
        <v>11.43</v>
      </c>
      <c r="T152" s="85" t="s">
        <v>142</v>
      </c>
      <c r="U152" s="83" t="s">
        <v>143</v>
      </c>
    </row>
    <row r="153" spans="1:21" ht="128.25">
      <c r="A153" s="77">
        <v>18</v>
      </c>
      <c r="B153" s="79" t="s">
        <v>244</v>
      </c>
      <c r="C153" s="77" t="s">
        <v>14</v>
      </c>
      <c r="D153" s="36" t="s">
        <v>913</v>
      </c>
      <c r="E153" s="51" t="s">
        <v>914</v>
      </c>
      <c r="F153" s="79" t="s">
        <v>135</v>
      </c>
      <c r="G153" s="53" t="s">
        <v>800</v>
      </c>
      <c r="H153" s="53" t="s">
        <v>902</v>
      </c>
      <c r="I153" s="81" t="s">
        <v>915</v>
      </c>
      <c r="J153" s="80">
        <v>4.23</v>
      </c>
      <c r="K153" s="80">
        <v>89.31</v>
      </c>
      <c r="L153" s="80" t="s">
        <v>825</v>
      </c>
      <c r="M153" s="80" t="s">
        <v>523</v>
      </c>
      <c r="N153" s="80"/>
      <c r="O153" s="80">
        <v>101.42</v>
      </c>
      <c r="P153" s="80"/>
      <c r="Q153" s="80">
        <f aca="true" t="shared" si="9" ref="Q153:Q164">SUM(O153:P153)</f>
        <v>101.42</v>
      </c>
      <c r="R153" s="80">
        <v>99.85</v>
      </c>
      <c r="S153" s="80">
        <v>4.23</v>
      </c>
      <c r="T153" s="85" t="s">
        <v>142</v>
      </c>
      <c r="U153" s="83" t="s">
        <v>261</v>
      </c>
    </row>
    <row r="154" spans="1:21" ht="71.25">
      <c r="A154" s="77">
        <v>19</v>
      </c>
      <c r="B154" s="79" t="s">
        <v>244</v>
      </c>
      <c r="C154" s="77" t="s">
        <v>14</v>
      </c>
      <c r="D154" s="36" t="s">
        <v>921</v>
      </c>
      <c r="E154" s="51" t="s">
        <v>922</v>
      </c>
      <c r="F154" s="79" t="s">
        <v>135</v>
      </c>
      <c r="G154" s="53" t="s">
        <v>800</v>
      </c>
      <c r="H154" s="80" t="s">
        <v>801</v>
      </c>
      <c r="I154" s="81" t="s">
        <v>923</v>
      </c>
      <c r="J154" s="80">
        <v>10.625</v>
      </c>
      <c r="K154" s="80">
        <v>217.84</v>
      </c>
      <c r="L154" s="80" t="s">
        <v>609</v>
      </c>
      <c r="M154" s="80" t="s">
        <v>924</v>
      </c>
      <c r="N154" s="80" t="s">
        <v>893</v>
      </c>
      <c r="O154" s="80">
        <v>215.52</v>
      </c>
      <c r="P154" s="80"/>
      <c r="Q154" s="80">
        <f t="shared" si="9"/>
        <v>215.52</v>
      </c>
      <c r="R154" s="80">
        <f>182.8+30.06</f>
        <v>212.86</v>
      </c>
      <c r="S154" s="80">
        <v>10.63</v>
      </c>
      <c r="T154" s="85" t="s">
        <v>142</v>
      </c>
      <c r="U154" s="83" t="s">
        <v>143</v>
      </c>
    </row>
    <row r="155" spans="1:21" ht="75">
      <c r="A155" s="77">
        <v>11</v>
      </c>
      <c r="B155" s="79" t="s">
        <v>279</v>
      </c>
      <c r="C155" s="77" t="s">
        <v>14</v>
      </c>
      <c r="D155" s="37" t="s">
        <v>928</v>
      </c>
      <c r="E155" s="51" t="s">
        <v>797</v>
      </c>
      <c r="F155" s="79" t="s">
        <v>135</v>
      </c>
      <c r="G155" s="79" t="s">
        <v>791</v>
      </c>
      <c r="H155" s="79" t="s">
        <v>792</v>
      </c>
      <c r="I155" s="79" t="s">
        <v>929</v>
      </c>
      <c r="J155" s="116">
        <v>3.74</v>
      </c>
      <c r="K155" s="80">
        <v>105.37</v>
      </c>
      <c r="L155" s="79" t="s">
        <v>930</v>
      </c>
      <c r="M155" s="79" t="s">
        <v>931</v>
      </c>
      <c r="N155" s="38" t="s">
        <v>273</v>
      </c>
      <c r="O155" s="80">
        <v>67.45</v>
      </c>
      <c r="P155" s="80"/>
      <c r="Q155" s="80">
        <f t="shared" si="9"/>
        <v>67.45</v>
      </c>
      <c r="R155" s="80">
        <v>62.59</v>
      </c>
      <c r="S155" s="80">
        <v>3.74</v>
      </c>
      <c r="T155" s="83" t="s">
        <v>142</v>
      </c>
      <c r="U155" s="83" t="s">
        <v>143</v>
      </c>
    </row>
    <row r="156" spans="1:21" ht="105">
      <c r="A156" s="77">
        <v>12</v>
      </c>
      <c r="B156" s="79" t="s">
        <v>279</v>
      </c>
      <c r="C156" s="77" t="s">
        <v>14</v>
      </c>
      <c r="D156" s="37" t="s">
        <v>932</v>
      </c>
      <c r="E156" s="51" t="s">
        <v>799</v>
      </c>
      <c r="F156" s="79" t="s">
        <v>135</v>
      </c>
      <c r="G156" s="79" t="s">
        <v>791</v>
      </c>
      <c r="H156" s="79" t="s">
        <v>792</v>
      </c>
      <c r="I156" s="79" t="s">
        <v>933</v>
      </c>
      <c r="J156" s="116">
        <v>10.17</v>
      </c>
      <c r="K156" s="80">
        <v>271.97</v>
      </c>
      <c r="L156" s="79" t="s">
        <v>934</v>
      </c>
      <c r="M156" s="79" t="s">
        <v>935</v>
      </c>
      <c r="N156" s="79" t="s">
        <v>294</v>
      </c>
      <c r="O156" s="80">
        <v>270.27</v>
      </c>
      <c r="P156" s="80"/>
      <c r="Q156" s="80">
        <f t="shared" si="9"/>
        <v>270.27</v>
      </c>
      <c r="R156" s="80">
        <v>153.07</v>
      </c>
      <c r="S156" s="80">
        <v>10.17</v>
      </c>
      <c r="T156" s="92" t="s">
        <v>142</v>
      </c>
      <c r="U156" s="83" t="s">
        <v>143</v>
      </c>
    </row>
    <row r="157" spans="1:21" ht="90">
      <c r="A157" s="77">
        <v>13</v>
      </c>
      <c r="B157" s="79" t="s">
        <v>279</v>
      </c>
      <c r="C157" s="77" t="s">
        <v>14</v>
      </c>
      <c r="D157" s="37" t="s">
        <v>938</v>
      </c>
      <c r="E157" s="51" t="s">
        <v>853</v>
      </c>
      <c r="F157" s="79" t="s">
        <v>135</v>
      </c>
      <c r="G157" s="79" t="s">
        <v>791</v>
      </c>
      <c r="H157" s="79" t="s">
        <v>792</v>
      </c>
      <c r="I157" s="79" t="s">
        <v>939</v>
      </c>
      <c r="J157" s="116">
        <v>11.5</v>
      </c>
      <c r="K157" s="80">
        <v>419.34</v>
      </c>
      <c r="L157" s="79" t="s">
        <v>926</v>
      </c>
      <c r="M157" s="79" t="s">
        <v>927</v>
      </c>
      <c r="N157" s="79" t="s">
        <v>893</v>
      </c>
      <c r="O157" s="80">
        <v>285.15</v>
      </c>
      <c r="P157" s="80"/>
      <c r="Q157" s="80">
        <f t="shared" si="9"/>
        <v>285.15</v>
      </c>
      <c r="R157" s="80">
        <v>301.93</v>
      </c>
      <c r="S157" s="80">
        <v>11.5</v>
      </c>
      <c r="T157" s="83" t="s">
        <v>142</v>
      </c>
      <c r="U157" s="83" t="s">
        <v>143</v>
      </c>
    </row>
    <row r="158" spans="1:21" ht="90">
      <c r="A158" s="77">
        <v>14</v>
      </c>
      <c r="B158" s="79" t="s">
        <v>279</v>
      </c>
      <c r="C158" s="77" t="s">
        <v>14</v>
      </c>
      <c r="D158" s="37" t="s">
        <v>940</v>
      </c>
      <c r="E158" s="51" t="s">
        <v>881</v>
      </c>
      <c r="F158" s="79" t="s">
        <v>135</v>
      </c>
      <c r="G158" s="79" t="s">
        <v>791</v>
      </c>
      <c r="H158" s="79" t="s">
        <v>792</v>
      </c>
      <c r="I158" s="79" t="s">
        <v>598</v>
      </c>
      <c r="J158" s="116">
        <v>6.35</v>
      </c>
      <c r="K158" s="80">
        <v>221.87</v>
      </c>
      <c r="L158" s="79" t="s">
        <v>941</v>
      </c>
      <c r="M158" s="79" t="s">
        <v>942</v>
      </c>
      <c r="N158" s="79" t="s">
        <v>308</v>
      </c>
      <c r="O158" s="80">
        <v>144.21</v>
      </c>
      <c r="P158" s="80"/>
      <c r="Q158" s="80">
        <f t="shared" si="9"/>
        <v>144.21</v>
      </c>
      <c r="R158" s="80">
        <v>150.58</v>
      </c>
      <c r="S158" s="80">
        <v>6.35</v>
      </c>
      <c r="T158" s="83" t="s">
        <v>142</v>
      </c>
      <c r="U158" s="83" t="s">
        <v>143</v>
      </c>
    </row>
    <row r="159" spans="1:21" ht="75">
      <c r="A159" s="77">
        <v>20</v>
      </c>
      <c r="B159" s="79" t="s">
        <v>279</v>
      </c>
      <c r="C159" s="77" t="s">
        <v>14</v>
      </c>
      <c r="D159" s="37" t="s">
        <v>943</v>
      </c>
      <c r="E159" s="51" t="s">
        <v>857</v>
      </c>
      <c r="F159" s="79" t="s">
        <v>135</v>
      </c>
      <c r="G159" s="79" t="s">
        <v>800</v>
      </c>
      <c r="H159" s="79" t="s">
        <v>902</v>
      </c>
      <c r="I159" s="79" t="s">
        <v>944</v>
      </c>
      <c r="J159" s="116">
        <v>6.5</v>
      </c>
      <c r="K159" s="80">
        <v>217.83</v>
      </c>
      <c r="L159" s="79" t="s">
        <v>888</v>
      </c>
      <c r="M159" s="79" t="s">
        <v>889</v>
      </c>
      <c r="N159" s="79" t="s">
        <v>945</v>
      </c>
      <c r="O159" s="80">
        <v>215.32</v>
      </c>
      <c r="P159" s="80"/>
      <c r="Q159" s="80">
        <f t="shared" si="9"/>
        <v>215.32</v>
      </c>
      <c r="R159" s="80">
        <f>121.4+82.38</f>
        <v>203.78</v>
      </c>
      <c r="S159" s="80">
        <v>6.5</v>
      </c>
      <c r="T159" s="83" t="s">
        <v>142</v>
      </c>
      <c r="U159" s="83" t="s">
        <v>143</v>
      </c>
    </row>
    <row r="160" spans="1:21" ht="75">
      <c r="A160" s="77">
        <v>3</v>
      </c>
      <c r="B160" s="79" t="s">
        <v>279</v>
      </c>
      <c r="C160" s="77" t="s">
        <v>14</v>
      </c>
      <c r="D160" s="37" t="s">
        <v>946</v>
      </c>
      <c r="E160" s="51" t="s">
        <v>860</v>
      </c>
      <c r="F160" s="79" t="s">
        <v>135</v>
      </c>
      <c r="G160" s="79" t="s">
        <v>806</v>
      </c>
      <c r="H160" s="80" t="s">
        <v>801</v>
      </c>
      <c r="I160" s="79" t="s">
        <v>793</v>
      </c>
      <c r="J160" s="116">
        <v>7.6</v>
      </c>
      <c r="K160" s="80">
        <v>244.03</v>
      </c>
      <c r="L160" s="79" t="s">
        <v>888</v>
      </c>
      <c r="M160" s="79" t="s">
        <v>945</v>
      </c>
      <c r="N160" s="79" t="s">
        <v>103</v>
      </c>
      <c r="O160" s="80">
        <v>167.17</v>
      </c>
      <c r="P160" s="80"/>
      <c r="Q160" s="80">
        <f t="shared" si="9"/>
        <v>167.17</v>
      </c>
      <c r="R160" s="80">
        <f>93.96+16.88</f>
        <v>110.83999999999999</v>
      </c>
      <c r="S160" s="80">
        <v>7.6</v>
      </c>
      <c r="T160" s="92" t="s">
        <v>142</v>
      </c>
      <c r="U160" s="83" t="s">
        <v>143</v>
      </c>
    </row>
    <row r="161" spans="1:21" ht="135">
      <c r="A161" s="77">
        <v>21</v>
      </c>
      <c r="B161" s="79" t="s">
        <v>279</v>
      </c>
      <c r="C161" s="77" t="s">
        <v>14</v>
      </c>
      <c r="D161" s="37" t="s">
        <v>950</v>
      </c>
      <c r="E161" s="51" t="s">
        <v>914</v>
      </c>
      <c r="F161" s="79" t="s">
        <v>135</v>
      </c>
      <c r="G161" s="79" t="s">
        <v>800</v>
      </c>
      <c r="H161" s="79" t="s">
        <v>902</v>
      </c>
      <c r="I161" s="79" t="s">
        <v>944</v>
      </c>
      <c r="J161" s="116">
        <v>9</v>
      </c>
      <c r="K161" s="80">
        <v>253.39</v>
      </c>
      <c r="L161" s="79" t="s">
        <v>888</v>
      </c>
      <c r="M161" s="79" t="s">
        <v>945</v>
      </c>
      <c r="N161" s="79" t="s">
        <v>308</v>
      </c>
      <c r="O161" s="80">
        <v>217.28</v>
      </c>
      <c r="P161" s="80"/>
      <c r="Q161" s="80">
        <f t="shared" si="9"/>
        <v>217.28</v>
      </c>
      <c r="R161" s="80">
        <f>87.39+114.95</f>
        <v>202.34</v>
      </c>
      <c r="S161" s="80">
        <v>9</v>
      </c>
      <c r="T161" s="83" t="s">
        <v>142</v>
      </c>
      <c r="U161" s="83" t="s">
        <v>143</v>
      </c>
    </row>
    <row r="162" spans="1:21" ht="60">
      <c r="A162" s="77">
        <v>15</v>
      </c>
      <c r="B162" s="79" t="s">
        <v>279</v>
      </c>
      <c r="C162" s="77" t="s">
        <v>14</v>
      </c>
      <c r="D162" s="37" t="s">
        <v>951</v>
      </c>
      <c r="E162" s="51" t="s">
        <v>917</v>
      </c>
      <c r="F162" s="79" t="s">
        <v>135</v>
      </c>
      <c r="G162" s="79" t="s">
        <v>791</v>
      </c>
      <c r="H162" s="79" t="s">
        <v>792</v>
      </c>
      <c r="I162" s="79" t="s">
        <v>952</v>
      </c>
      <c r="J162" s="116">
        <v>5.53</v>
      </c>
      <c r="K162" s="80">
        <v>177</v>
      </c>
      <c r="L162" s="79" t="s">
        <v>926</v>
      </c>
      <c r="M162" s="79" t="s">
        <v>953</v>
      </c>
      <c r="N162" s="80" t="s">
        <v>254</v>
      </c>
      <c r="O162" s="80">
        <v>103.05</v>
      </c>
      <c r="P162" s="80"/>
      <c r="Q162" s="80">
        <f t="shared" si="9"/>
        <v>103.05</v>
      </c>
      <c r="R162" s="80">
        <v>117.06</v>
      </c>
      <c r="S162" s="80">
        <v>5.53</v>
      </c>
      <c r="T162" s="83" t="s">
        <v>142</v>
      </c>
      <c r="U162" s="83" t="s">
        <v>143</v>
      </c>
    </row>
    <row r="163" spans="1:21" ht="90">
      <c r="A163" s="77">
        <v>22</v>
      </c>
      <c r="B163" s="79" t="s">
        <v>279</v>
      </c>
      <c r="C163" s="77" t="s">
        <v>14</v>
      </c>
      <c r="D163" s="37" t="s">
        <v>954</v>
      </c>
      <c r="E163" s="51" t="s">
        <v>922</v>
      </c>
      <c r="F163" s="79" t="s">
        <v>135</v>
      </c>
      <c r="G163" s="79" t="s">
        <v>800</v>
      </c>
      <c r="H163" s="79" t="s">
        <v>902</v>
      </c>
      <c r="I163" s="79" t="s">
        <v>944</v>
      </c>
      <c r="J163" s="116">
        <v>9.18</v>
      </c>
      <c r="K163" s="80">
        <v>317.55</v>
      </c>
      <c r="L163" s="79" t="s">
        <v>888</v>
      </c>
      <c r="M163" s="79" t="s">
        <v>955</v>
      </c>
      <c r="N163" s="79"/>
      <c r="O163" s="80">
        <v>262.1</v>
      </c>
      <c r="P163" s="80"/>
      <c r="Q163" s="80">
        <f t="shared" si="9"/>
        <v>262.1</v>
      </c>
      <c r="R163" s="80">
        <f>111.44+135.37</f>
        <v>246.81</v>
      </c>
      <c r="S163" s="80">
        <v>8.5</v>
      </c>
      <c r="T163" s="83" t="s">
        <v>142</v>
      </c>
      <c r="U163" s="83" t="s">
        <v>143</v>
      </c>
    </row>
    <row r="164" spans="1:21" ht="90">
      <c r="A164" s="77">
        <v>23</v>
      </c>
      <c r="B164" s="79" t="s">
        <v>279</v>
      </c>
      <c r="C164" s="77" t="s">
        <v>14</v>
      </c>
      <c r="D164" s="37" t="s">
        <v>956</v>
      </c>
      <c r="E164" s="51" t="s">
        <v>957</v>
      </c>
      <c r="F164" s="79" t="s">
        <v>135</v>
      </c>
      <c r="G164" s="79" t="s">
        <v>800</v>
      </c>
      <c r="H164" s="79" t="s">
        <v>807</v>
      </c>
      <c r="I164" s="79" t="s">
        <v>958</v>
      </c>
      <c r="J164" s="116">
        <v>6</v>
      </c>
      <c r="K164" s="80">
        <v>194.67</v>
      </c>
      <c r="L164" s="79" t="s">
        <v>959</v>
      </c>
      <c r="M164" s="79" t="s">
        <v>960</v>
      </c>
      <c r="N164" s="79" t="s">
        <v>405</v>
      </c>
      <c r="O164" s="80">
        <v>193.87</v>
      </c>
      <c r="P164" s="80"/>
      <c r="Q164" s="80">
        <f t="shared" si="9"/>
        <v>193.87</v>
      </c>
      <c r="R164" s="80">
        <v>174.85</v>
      </c>
      <c r="S164" s="80">
        <v>6</v>
      </c>
      <c r="T164" s="92" t="s">
        <v>142</v>
      </c>
      <c r="U164" s="83" t="s">
        <v>143</v>
      </c>
    </row>
    <row r="165" spans="1:21" ht="102">
      <c r="A165" s="77">
        <v>24</v>
      </c>
      <c r="B165" s="79" t="s">
        <v>313</v>
      </c>
      <c r="C165" s="77" t="s">
        <v>14</v>
      </c>
      <c r="D165" s="69" t="s">
        <v>968</v>
      </c>
      <c r="E165" s="84" t="s">
        <v>860</v>
      </c>
      <c r="F165" s="79" t="s">
        <v>159</v>
      </c>
      <c r="G165" s="111" t="s">
        <v>800</v>
      </c>
      <c r="H165" s="79" t="s">
        <v>807</v>
      </c>
      <c r="I165" s="111" t="s">
        <v>969</v>
      </c>
      <c r="J165" s="80">
        <v>7.43</v>
      </c>
      <c r="K165" s="80">
        <v>175.86</v>
      </c>
      <c r="L165" s="80" t="s">
        <v>934</v>
      </c>
      <c r="M165" s="80" t="s">
        <v>935</v>
      </c>
      <c r="N165" s="80" t="s">
        <v>970</v>
      </c>
      <c r="O165" s="80">
        <v>174.09</v>
      </c>
      <c r="P165" s="80"/>
      <c r="Q165" s="80">
        <f aca="true" t="shared" si="10" ref="Q165:Q172">SUM(O165:P165)</f>
        <v>174.09</v>
      </c>
      <c r="R165" s="80">
        <v>173.98</v>
      </c>
      <c r="S165" s="80">
        <v>7.43</v>
      </c>
      <c r="T165" s="56" t="s">
        <v>142</v>
      </c>
      <c r="U165" s="56" t="s">
        <v>261</v>
      </c>
    </row>
    <row r="166" spans="1:21" ht="118.5" customHeight="1">
      <c r="A166" s="77">
        <v>25</v>
      </c>
      <c r="B166" s="79" t="s">
        <v>313</v>
      </c>
      <c r="C166" s="77" t="s">
        <v>14</v>
      </c>
      <c r="D166" s="69" t="s">
        <v>981</v>
      </c>
      <c r="E166" s="84" t="s">
        <v>962</v>
      </c>
      <c r="F166" s="79" t="s">
        <v>175</v>
      </c>
      <c r="G166" s="79" t="s">
        <v>800</v>
      </c>
      <c r="H166" s="79" t="s">
        <v>807</v>
      </c>
      <c r="I166" s="126" t="s">
        <v>982</v>
      </c>
      <c r="J166" s="59" t="s">
        <v>141</v>
      </c>
      <c r="K166" s="80">
        <v>108.3</v>
      </c>
      <c r="L166" s="80" t="s">
        <v>934</v>
      </c>
      <c r="M166" s="80" t="s">
        <v>935</v>
      </c>
      <c r="N166" s="80" t="s">
        <v>273</v>
      </c>
      <c r="O166" s="80">
        <v>103.02</v>
      </c>
      <c r="P166" s="80"/>
      <c r="Q166" s="80">
        <f t="shared" si="10"/>
        <v>103.02</v>
      </c>
      <c r="R166" s="80">
        <f>26.28+138.42</f>
        <v>164.7</v>
      </c>
      <c r="S166" s="80" t="s">
        <v>141</v>
      </c>
      <c r="T166" s="56" t="s">
        <v>142</v>
      </c>
      <c r="U166" s="56" t="s">
        <v>261</v>
      </c>
    </row>
    <row r="167" spans="1:21" ht="178.5">
      <c r="A167" s="77">
        <v>16</v>
      </c>
      <c r="B167" s="79" t="s">
        <v>313</v>
      </c>
      <c r="C167" s="77" t="s">
        <v>14</v>
      </c>
      <c r="D167" s="69" t="s">
        <v>985</v>
      </c>
      <c r="E167" s="84" t="s">
        <v>986</v>
      </c>
      <c r="F167" s="79" t="s">
        <v>175</v>
      </c>
      <c r="G167" s="111" t="s">
        <v>791</v>
      </c>
      <c r="H167" s="111" t="s">
        <v>792</v>
      </c>
      <c r="I167" s="111" t="s">
        <v>642</v>
      </c>
      <c r="J167" s="59" t="s">
        <v>141</v>
      </c>
      <c r="K167" s="80">
        <v>76.75</v>
      </c>
      <c r="L167" s="80" t="s">
        <v>987</v>
      </c>
      <c r="M167" s="80" t="s">
        <v>988</v>
      </c>
      <c r="N167" s="80" t="s">
        <v>273</v>
      </c>
      <c r="O167" s="80">
        <v>75.22</v>
      </c>
      <c r="P167" s="80"/>
      <c r="Q167" s="80">
        <f t="shared" si="10"/>
        <v>75.22</v>
      </c>
      <c r="R167" s="80">
        <v>75.08</v>
      </c>
      <c r="S167" s="80" t="s">
        <v>141</v>
      </c>
      <c r="T167" s="56" t="s">
        <v>142</v>
      </c>
      <c r="U167" s="56" t="s">
        <v>261</v>
      </c>
    </row>
    <row r="168" spans="1:21" ht="216.75">
      <c r="A168" s="77">
        <v>26</v>
      </c>
      <c r="B168" s="79" t="s">
        <v>313</v>
      </c>
      <c r="C168" s="77" t="s">
        <v>14</v>
      </c>
      <c r="D168" s="69" t="s">
        <v>989</v>
      </c>
      <c r="E168" s="84" t="s">
        <v>990</v>
      </c>
      <c r="F168" s="79" t="s">
        <v>175</v>
      </c>
      <c r="G168" s="79" t="s">
        <v>800</v>
      </c>
      <c r="H168" s="79" t="s">
        <v>807</v>
      </c>
      <c r="I168" s="197" t="s">
        <v>982</v>
      </c>
      <c r="J168" s="59" t="s">
        <v>141</v>
      </c>
      <c r="K168" s="80">
        <v>81.48</v>
      </c>
      <c r="L168" s="80" t="s">
        <v>934</v>
      </c>
      <c r="M168" s="80" t="s">
        <v>873</v>
      </c>
      <c r="N168" s="80" t="s">
        <v>273</v>
      </c>
      <c r="O168" s="80">
        <v>78.86</v>
      </c>
      <c r="P168" s="80"/>
      <c r="Q168" s="80">
        <f t="shared" si="10"/>
        <v>78.86</v>
      </c>
      <c r="R168" s="80">
        <f>24.5+115.96</f>
        <v>140.45999999999998</v>
      </c>
      <c r="S168" s="80" t="s">
        <v>141</v>
      </c>
      <c r="T168" s="56" t="s">
        <v>142</v>
      </c>
      <c r="U168" s="56" t="s">
        <v>261</v>
      </c>
    </row>
    <row r="169" spans="1:21" ht="216.75">
      <c r="A169" s="77">
        <v>27</v>
      </c>
      <c r="B169" s="79" t="s">
        <v>313</v>
      </c>
      <c r="C169" s="77" t="s">
        <v>14</v>
      </c>
      <c r="D169" s="69" t="s">
        <v>991</v>
      </c>
      <c r="E169" s="84" t="s">
        <v>992</v>
      </c>
      <c r="F169" s="79" t="s">
        <v>175</v>
      </c>
      <c r="G169" s="79" t="s">
        <v>800</v>
      </c>
      <c r="H169" s="79" t="s">
        <v>807</v>
      </c>
      <c r="I169" s="197"/>
      <c r="J169" s="59" t="s">
        <v>141</v>
      </c>
      <c r="K169" s="80">
        <v>77.9</v>
      </c>
      <c r="L169" s="80" t="s">
        <v>934</v>
      </c>
      <c r="M169" s="80" t="s">
        <v>873</v>
      </c>
      <c r="N169" s="80" t="s">
        <v>666</v>
      </c>
      <c r="O169" s="80">
        <v>75.41</v>
      </c>
      <c r="P169" s="80"/>
      <c r="Q169" s="80">
        <f t="shared" si="10"/>
        <v>75.41</v>
      </c>
      <c r="R169" s="80">
        <v>0.01</v>
      </c>
      <c r="S169" s="80" t="s">
        <v>141</v>
      </c>
      <c r="T169" s="57" t="s">
        <v>142</v>
      </c>
      <c r="U169" s="56" t="s">
        <v>261</v>
      </c>
    </row>
    <row r="170" spans="1:21" ht="165.75">
      <c r="A170" s="77">
        <v>28</v>
      </c>
      <c r="B170" s="79" t="s">
        <v>313</v>
      </c>
      <c r="C170" s="77" t="s">
        <v>14</v>
      </c>
      <c r="D170" s="69" t="s">
        <v>993</v>
      </c>
      <c r="E170" s="84" t="s">
        <v>994</v>
      </c>
      <c r="F170" s="79" t="s">
        <v>175</v>
      </c>
      <c r="G170" s="79" t="s">
        <v>800</v>
      </c>
      <c r="H170" s="79" t="s">
        <v>807</v>
      </c>
      <c r="I170" s="111" t="s">
        <v>642</v>
      </c>
      <c r="J170" s="59" t="s">
        <v>141</v>
      </c>
      <c r="K170" s="80">
        <v>112.35</v>
      </c>
      <c r="L170" s="80" t="s">
        <v>978</v>
      </c>
      <c r="M170" s="80" t="s">
        <v>995</v>
      </c>
      <c r="N170" s="80" t="s">
        <v>273</v>
      </c>
      <c r="O170" s="80">
        <v>98.48</v>
      </c>
      <c r="P170" s="80"/>
      <c r="Q170" s="80">
        <f t="shared" si="10"/>
        <v>98.48</v>
      </c>
      <c r="R170" s="80">
        <v>226.4</v>
      </c>
      <c r="S170" s="80" t="s">
        <v>141</v>
      </c>
      <c r="T170" s="56" t="s">
        <v>142</v>
      </c>
      <c r="U170" s="56" t="s">
        <v>261</v>
      </c>
    </row>
    <row r="171" spans="1:21" ht="153">
      <c r="A171" s="77">
        <v>29</v>
      </c>
      <c r="B171" s="79" t="s">
        <v>313</v>
      </c>
      <c r="C171" s="77" t="s">
        <v>14</v>
      </c>
      <c r="D171" s="69" t="s">
        <v>996</v>
      </c>
      <c r="E171" s="84" t="s">
        <v>997</v>
      </c>
      <c r="F171" s="79" t="s">
        <v>175</v>
      </c>
      <c r="G171" s="79" t="s">
        <v>800</v>
      </c>
      <c r="H171" s="79" t="s">
        <v>807</v>
      </c>
      <c r="I171" s="111" t="s">
        <v>642</v>
      </c>
      <c r="J171" s="59" t="s">
        <v>141</v>
      </c>
      <c r="K171" s="80">
        <v>96.72</v>
      </c>
      <c r="L171" s="80" t="s">
        <v>978</v>
      </c>
      <c r="M171" s="80" t="s">
        <v>995</v>
      </c>
      <c r="N171" s="80" t="s">
        <v>405</v>
      </c>
      <c r="O171" s="80">
        <v>68.67</v>
      </c>
      <c r="P171" s="80"/>
      <c r="Q171" s="80">
        <f t="shared" si="10"/>
        <v>68.67</v>
      </c>
      <c r="R171" s="80">
        <v>0.01</v>
      </c>
      <c r="S171" s="80" t="s">
        <v>141</v>
      </c>
      <c r="T171" s="57" t="s">
        <v>142</v>
      </c>
      <c r="U171" s="56" t="s">
        <v>261</v>
      </c>
    </row>
    <row r="172" spans="1:21" ht="165.75">
      <c r="A172" s="77">
        <v>30</v>
      </c>
      <c r="B172" s="79" t="s">
        <v>313</v>
      </c>
      <c r="C172" s="77" t="s">
        <v>14</v>
      </c>
      <c r="D172" s="69" t="s">
        <v>998</v>
      </c>
      <c r="E172" s="84" t="s">
        <v>999</v>
      </c>
      <c r="F172" s="79" t="s">
        <v>175</v>
      </c>
      <c r="G172" s="79" t="s">
        <v>800</v>
      </c>
      <c r="H172" s="79" t="s">
        <v>807</v>
      </c>
      <c r="I172" s="111" t="s">
        <v>642</v>
      </c>
      <c r="J172" s="59" t="s">
        <v>141</v>
      </c>
      <c r="K172" s="80">
        <v>92.82</v>
      </c>
      <c r="L172" s="80" t="s">
        <v>978</v>
      </c>
      <c r="M172" s="80" t="s">
        <v>995</v>
      </c>
      <c r="N172" s="80" t="s">
        <v>893</v>
      </c>
      <c r="O172" s="80">
        <v>92.57</v>
      </c>
      <c r="P172" s="80"/>
      <c r="Q172" s="80">
        <f t="shared" si="10"/>
        <v>92.57</v>
      </c>
      <c r="R172" s="80">
        <v>0.01</v>
      </c>
      <c r="S172" s="80" t="s">
        <v>141</v>
      </c>
      <c r="T172" s="56" t="s">
        <v>142</v>
      </c>
      <c r="U172" s="56" t="s">
        <v>261</v>
      </c>
    </row>
    <row r="173" spans="1:21" ht="89.25">
      <c r="A173" s="77">
        <v>17</v>
      </c>
      <c r="B173" s="79" t="s">
        <v>389</v>
      </c>
      <c r="C173" s="77" t="s">
        <v>14</v>
      </c>
      <c r="D173" s="118" t="s">
        <v>1004</v>
      </c>
      <c r="E173" s="119" t="s">
        <v>799</v>
      </c>
      <c r="F173" s="119" t="s">
        <v>135</v>
      </c>
      <c r="G173" s="119" t="s">
        <v>791</v>
      </c>
      <c r="H173" s="119" t="s">
        <v>792</v>
      </c>
      <c r="I173" s="119" t="s">
        <v>1005</v>
      </c>
      <c r="J173" s="120">
        <v>3</v>
      </c>
      <c r="K173" s="121">
        <v>136.87</v>
      </c>
      <c r="L173" s="121" t="s">
        <v>1006</v>
      </c>
      <c r="M173" s="121" t="s">
        <v>1007</v>
      </c>
      <c r="N173" s="121" t="s">
        <v>268</v>
      </c>
      <c r="O173" s="121">
        <v>86.97</v>
      </c>
      <c r="P173" s="121"/>
      <c r="Q173" s="121">
        <v>86.97</v>
      </c>
      <c r="R173" s="121">
        <v>88.61</v>
      </c>
      <c r="S173" s="121">
        <v>3</v>
      </c>
      <c r="T173" s="122" t="s">
        <v>142</v>
      </c>
      <c r="U173" s="122" t="s">
        <v>1008</v>
      </c>
    </row>
    <row r="174" spans="1:21" ht="153">
      <c r="A174" s="77">
        <v>31</v>
      </c>
      <c r="B174" s="79" t="s">
        <v>389</v>
      </c>
      <c r="C174" s="77" t="s">
        <v>14</v>
      </c>
      <c r="D174" s="118" t="s">
        <v>1009</v>
      </c>
      <c r="E174" s="119" t="s">
        <v>805</v>
      </c>
      <c r="F174" s="119" t="s">
        <v>175</v>
      </c>
      <c r="G174" s="119" t="s">
        <v>800</v>
      </c>
      <c r="H174" s="119" t="s">
        <v>807</v>
      </c>
      <c r="I174" s="119" t="s">
        <v>1010</v>
      </c>
      <c r="J174" s="127" t="s">
        <v>141</v>
      </c>
      <c r="K174" s="121">
        <v>193.88</v>
      </c>
      <c r="L174" s="121" t="s">
        <v>278</v>
      </c>
      <c r="M174" s="121" t="s">
        <v>685</v>
      </c>
      <c r="N174" s="121" t="s">
        <v>348</v>
      </c>
      <c r="O174" s="121">
        <v>190</v>
      </c>
      <c r="P174" s="121"/>
      <c r="Q174" s="121">
        <f>SUM(O174:P174)</f>
        <v>190</v>
      </c>
      <c r="R174" s="127">
        <v>189.98</v>
      </c>
      <c r="S174" s="121" t="s">
        <v>141</v>
      </c>
      <c r="T174" s="122" t="s">
        <v>142</v>
      </c>
      <c r="U174" s="122" t="s">
        <v>261</v>
      </c>
    </row>
    <row r="175" spans="1:21" ht="144.75" customHeight="1">
      <c r="A175" s="77">
        <v>18</v>
      </c>
      <c r="B175" s="79" t="s">
        <v>389</v>
      </c>
      <c r="C175" s="77" t="s">
        <v>14</v>
      </c>
      <c r="D175" s="118" t="s">
        <v>1011</v>
      </c>
      <c r="E175" s="128" t="s">
        <v>853</v>
      </c>
      <c r="F175" s="119" t="s">
        <v>175</v>
      </c>
      <c r="G175" s="119" t="s">
        <v>791</v>
      </c>
      <c r="H175" s="119" t="s">
        <v>792</v>
      </c>
      <c r="I175" s="119" t="s">
        <v>1012</v>
      </c>
      <c r="J175" s="127" t="s">
        <v>141</v>
      </c>
      <c r="K175" s="127">
        <v>111.42</v>
      </c>
      <c r="L175" s="121" t="s">
        <v>1006</v>
      </c>
      <c r="M175" s="121" t="s">
        <v>1007</v>
      </c>
      <c r="N175" s="121" t="s">
        <v>1013</v>
      </c>
      <c r="O175" s="127">
        <v>185.99</v>
      </c>
      <c r="P175" s="127"/>
      <c r="Q175" s="127">
        <v>185.99</v>
      </c>
      <c r="R175" s="127">
        <f>127.34</f>
        <v>127.34</v>
      </c>
      <c r="S175" s="127" t="s">
        <v>141</v>
      </c>
      <c r="T175" s="152" t="s">
        <v>142</v>
      </c>
      <c r="U175" s="122" t="s">
        <v>261</v>
      </c>
    </row>
    <row r="176" spans="1:21" ht="165.75">
      <c r="A176" s="77">
        <v>19</v>
      </c>
      <c r="B176" s="79" t="s">
        <v>389</v>
      </c>
      <c r="C176" s="77" t="s">
        <v>14</v>
      </c>
      <c r="D176" s="118" t="s">
        <v>1015</v>
      </c>
      <c r="E176" s="119" t="s">
        <v>881</v>
      </c>
      <c r="F176" s="119" t="s">
        <v>175</v>
      </c>
      <c r="G176" s="119" t="s">
        <v>791</v>
      </c>
      <c r="H176" s="119" t="s">
        <v>792</v>
      </c>
      <c r="I176" s="119" t="s">
        <v>1012</v>
      </c>
      <c r="J176" s="127" t="s">
        <v>141</v>
      </c>
      <c r="K176" s="127">
        <v>84.14</v>
      </c>
      <c r="L176" s="121" t="s">
        <v>1006</v>
      </c>
      <c r="M176" s="121" t="s">
        <v>1007</v>
      </c>
      <c r="N176" s="121" t="s">
        <v>893</v>
      </c>
      <c r="O176" s="127">
        <v>65.4</v>
      </c>
      <c r="P176" s="127"/>
      <c r="Q176" s="127">
        <f>SUM(O176:P176)</f>
        <v>65.4</v>
      </c>
      <c r="R176" s="127">
        <v>67.58</v>
      </c>
      <c r="S176" s="127" t="s">
        <v>141</v>
      </c>
      <c r="T176" s="122" t="s">
        <v>142</v>
      </c>
      <c r="U176" s="122" t="s">
        <v>261</v>
      </c>
    </row>
    <row r="177" spans="1:21" ht="267.75">
      <c r="A177" s="77">
        <v>32</v>
      </c>
      <c r="B177" s="79" t="s">
        <v>395</v>
      </c>
      <c r="C177" s="77" t="s">
        <v>14</v>
      </c>
      <c r="D177" s="130" t="s">
        <v>1036</v>
      </c>
      <c r="E177" s="60" t="s">
        <v>805</v>
      </c>
      <c r="F177" s="60" t="s">
        <v>175</v>
      </c>
      <c r="G177" s="129" t="s">
        <v>800</v>
      </c>
      <c r="H177" s="119" t="s">
        <v>807</v>
      </c>
      <c r="I177" s="40" t="s">
        <v>969</v>
      </c>
      <c r="J177" s="120" t="s">
        <v>141</v>
      </c>
      <c r="K177" s="40">
        <v>87.88</v>
      </c>
      <c r="L177" s="61" t="s">
        <v>1037</v>
      </c>
      <c r="M177" s="61" t="s">
        <v>1038</v>
      </c>
      <c r="N177" s="61" t="s">
        <v>666</v>
      </c>
      <c r="O177" s="77"/>
      <c r="P177" s="77"/>
      <c r="Q177" s="77"/>
      <c r="R177" s="61">
        <v>87.82</v>
      </c>
      <c r="S177" s="61" t="s">
        <v>141</v>
      </c>
      <c r="T177" s="62" t="s">
        <v>397</v>
      </c>
      <c r="U177" s="77"/>
    </row>
    <row r="178" spans="1:21" ht="76.5">
      <c r="A178" s="77">
        <v>4</v>
      </c>
      <c r="B178" s="79" t="s">
        <v>395</v>
      </c>
      <c r="C178" s="77" t="s">
        <v>14</v>
      </c>
      <c r="D178" s="130" t="s">
        <v>1049</v>
      </c>
      <c r="E178" s="60" t="s">
        <v>917</v>
      </c>
      <c r="F178" s="60" t="s">
        <v>159</v>
      </c>
      <c r="G178" s="60" t="s">
        <v>806</v>
      </c>
      <c r="H178" s="119" t="s">
        <v>807</v>
      </c>
      <c r="I178" s="40" t="s">
        <v>1050</v>
      </c>
      <c r="J178" s="40">
        <v>8.72</v>
      </c>
      <c r="K178" s="40">
        <v>361.95</v>
      </c>
      <c r="L178" s="40" t="s">
        <v>1051</v>
      </c>
      <c r="M178" s="40" t="s">
        <v>1052</v>
      </c>
      <c r="N178" s="40" t="s">
        <v>405</v>
      </c>
      <c r="O178" s="77"/>
      <c r="P178" s="77"/>
      <c r="Q178" s="77"/>
      <c r="R178" s="40">
        <v>210.41</v>
      </c>
      <c r="S178" s="40">
        <v>8.72</v>
      </c>
      <c r="T178" s="62" t="s">
        <v>397</v>
      </c>
      <c r="U178" s="77"/>
    </row>
    <row r="179" spans="1:21" ht="153">
      <c r="A179" s="77">
        <v>33</v>
      </c>
      <c r="B179" s="79" t="s">
        <v>395</v>
      </c>
      <c r="C179" s="77" t="s">
        <v>14</v>
      </c>
      <c r="D179" s="130" t="s">
        <v>1053</v>
      </c>
      <c r="E179" s="60" t="s">
        <v>922</v>
      </c>
      <c r="F179" s="60" t="s">
        <v>159</v>
      </c>
      <c r="G179" s="60" t="s">
        <v>800</v>
      </c>
      <c r="H179" s="119" t="s">
        <v>807</v>
      </c>
      <c r="I179" s="40" t="s">
        <v>1046</v>
      </c>
      <c r="J179" s="40">
        <v>16.89</v>
      </c>
      <c r="K179" s="40">
        <v>714.46</v>
      </c>
      <c r="L179" s="40" t="s">
        <v>1054</v>
      </c>
      <c r="M179" s="40" t="s">
        <v>1055</v>
      </c>
      <c r="N179" s="40" t="s">
        <v>405</v>
      </c>
      <c r="O179" s="77"/>
      <c r="P179" s="77"/>
      <c r="Q179" s="77"/>
      <c r="R179" s="40">
        <v>550.4</v>
      </c>
      <c r="S179" s="40">
        <v>16.89</v>
      </c>
      <c r="T179" s="62" t="s">
        <v>397</v>
      </c>
      <c r="U179" s="77"/>
    </row>
    <row r="180" spans="1:21" ht="76.5">
      <c r="A180" s="77">
        <v>34</v>
      </c>
      <c r="B180" s="79" t="s">
        <v>395</v>
      </c>
      <c r="C180" s="77" t="s">
        <v>14</v>
      </c>
      <c r="D180" s="130" t="s">
        <v>1056</v>
      </c>
      <c r="E180" s="60" t="s">
        <v>957</v>
      </c>
      <c r="F180" s="60" t="s">
        <v>159</v>
      </c>
      <c r="G180" s="60" t="s">
        <v>800</v>
      </c>
      <c r="H180" s="119" t="s">
        <v>807</v>
      </c>
      <c r="I180" s="40" t="s">
        <v>969</v>
      </c>
      <c r="J180" s="40">
        <v>6.01</v>
      </c>
      <c r="K180" s="40">
        <v>234.24</v>
      </c>
      <c r="L180" s="40" t="s">
        <v>1037</v>
      </c>
      <c r="M180" s="40" t="s">
        <v>1057</v>
      </c>
      <c r="N180" s="40" t="s">
        <v>1058</v>
      </c>
      <c r="O180" s="77"/>
      <c r="P180" s="77"/>
      <c r="Q180" s="77"/>
      <c r="R180" s="40">
        <v>210.07</v>
      </c>
      <c r="S180" s="40">
        <v>6.01</v>
      </c>
      <c r="T180" s="62" t="s">
        <v>397</v>
      </c>
      <c r="U180" s="77"/>
    </row>
    <row r="181" spans="1:21" ht="63.75">
      <c r="A181" s="77">
        <v>35</v>
      </c>
      <c r="B181" s="79" t="s">
        <v>395</v>
      </c>
      <c r="C181" s="77" t="s">
        <v>14</v>
      </c>
      <c r="D181" s="136" t="s">
        <v>1074</v>
      </c>
      <c r="E181" s="60" t="s">
        <v>997</v>
      </c>
      <c r="F181" s="60" t="s">
        <v>159</v>
      </c>
      <c r="G181" s="60" t="s">
        <v>800</v>
      </c>
      <c r="H181" s="119" t="s">
        <v>807</v>
      </c>
      <c r="I181" s="40" t="s">
        <v>1075</v>
      </c>
      <c r="J181" s="40">
        <v>6.5</v>
      </c>
      <c r="K181" s="40">
        <v>299.18</v>
      </c>
      <c r="L181" s="40" t="s">
        <v>1037</v>
      </c>
      <c r="M181" s="40" t="s">
        <v>1057</v>
      </c>
      <c r="N181" s="40" t="s">
        <v>736</v>
      </c>
      <c r="O181" s="77"/>
      <c r="P181" s="77"/>
      <c r="Q181" s="77"/>
      <c r="R181" s="61">
        <v>253.22</v>
      </c>
      <c r="S181" s="40">
        <v>6.5</v>
      </c>
      <c r="T181" s="62" t="s">
        <v>397</v>
      </c>
      <c r="U181" s="77"/>
    </row>
    <row r="182" spans="1:21" ht="114.75">
      <c r="A182" s="77">
        <v>36</v>
      </c>
      <c r="B182" s="79" t="s">
        <v>395</v>
      </c>
      <c r="C182" s="77" t="s">
        <v>14</v>
      </c>
      <c r="D182" s="136" t="s">
        <v>1077</v>
      </c>
      <c r="E182" s="60" t="s">
        <v>1002</v>
      </c>
      <c r="F182" s="60" t="s">
        <v>159</v>
      </c>
      <c r="G182" s="60" t="s">
        <v>800</v>
      </c>
      <c r="H182" s="119" t="s">
        <v>807</v>
      </c>
      <c r="I182" s="40" t="s">
        <v>1046</v>
      </c>
      <c r="J182" s="40">
        <v>9</v>
      </c>
      <c r="K182" s="40">
        <v>486.05</v>
      </c>
      <c r="L182" s="40" t="s">
        <v>1066</v>
      </c>
      <c r="M182" s="40" t="s">
        <v>1067</v>
      </c>
      <c r="N182" s="40" t="s">
        <v>405</v>
      </c>
      <c r="O182" s="77"/>
      <c r="P182" s="77"/>
      <c r="Q182" s="77"/>
      <c r="R182" s="61">
        <v>410.22</v>
      </c>
      <c r="S182" s="40">
        <v>9</v>
      </c>
      <c r="T182" s="62" t="s">
        <v>397</v>
      </c>
      <c r="U182" s="77"/>
    </row>
    <row r="183" spans="1:21" ht="63.75">
      <c r="A183" s="77">
        <v>37</v>
      </c>
      <c r="B183" s="79" t="s">
        <v>415</v>
      </c>
      <c r="C183" s="77" t="s">
        <v>14</v>
      </c>
      <c r="D183" s="64" t="s">
        <v>1078</v>
      </c>
      <c r="E183" s="60" t="s">
        <v>790</v>
      </c>
      <c r="F183" s="60" t="s">
        <v>159</v>
      </c>
      <c r="G183" s="60" t="s">
        <v>800</v>
      </c>
      <c r="H183" s="41" t="s">
        <v>807</v>
      </c>
      <c r="I183" s="41" t="s">
        <v>1079</v>
      </c>
      <c r="J183" s="40">
        <v>6.5</v>
      </c>
      <c r="K183" s="40">
        <v>292.77</v>
      </c>
      <c r="L183" s="63" t="s">
        <v>963</v>
      </c>
      <c r="M183" s="63" t="s">
        <v>322</v>
      </c>
      <c r="N183" s="63" t="s">
        <v>405</v>
      </c>
      <c r="O183" s="77"/>
      <c r="P183" s="77"/>
      <c r="Q183" s="77"/>
      <c r="R183" s="78">
        <v>217.05</v>
      </c>
      <c r="S183" s="78">
        <v>6.5</v>
      </c>
      <c r="T183" s="65" t="s">
        <v>397</v>
      </c>
      <c r="U183" s="63" t="s">
        <v>141</v>
      </c>
    </row>
    <row r="184" spans="1:21" ht="63.75">
      <c r="A184" s="77">
        <v>38</v>
      </c>
      <c r="B184" s="79" t="s">
        <v>415</v>
      </c>
      <c r="C184" s="77" t="s">
        <v>14</v>
      </c>
      <c r="D184" s="64" t="s">
        <v>1080</v>
      </c>
      <c r="E184" s="60" t="s">
        <v>797</v>
      </c>
      <c r="F184" s="60" t="s">
        <v>159</v>
      </c>
      <c r="G184" s="60" t="s">
        <v>800</v>
      </c>
      <c r="H184" s="41" t="s">
        <v>807</v>
      </c>
      <c r="I184" s="41" t="s">
        <v>1010</v>
      </c>
      <c r="J184" s="40">
        <v>8.38</v>
      </c>
      <c r="K184" s="40">
        <v>354.33</v>
      </c>
      <c r="L184" s="63" t="s">
        <v>316</v>
      </c>
      <c r="M184" s="63" t="s">
        <v>317</v>
      </c>
      <c r="N184" s="63" t="s">
        <v>405</v>
      </c>
      <c r="O184" s="77"/>
      <c r="P184" s="77"/>
      <c r="Q184" s="77"/>
      <c r="R184" s="78">
        <v>321.74</v>
      </c>
      <c r="S184" s="78">
        <v>8.38</v>
      </c>
      <c r="T184" s="65" t="s">
        <v>397</v>
      </c>
      <c r="U184" s="63" t="s">
        <v>141</v>
      </c>
    </row>
    <row r="185" spans="1:21" ht="229.5">
      <c r="A185" s="77">
        <v>39</v>
      </c>
      <c r="B185" s="79" t="s">
        <v>415</v>
      </c>
      <c r="C185" s="77" t="s">
        <v>14</v>
      </c>
      <c r="D185" s="64" t="s">
        <v>1084</v>
      </c>
      <c r="E185" s="60" t="s">
        <v>805</v>
      </c>
      <c r="F185" s="60" t="s">
        <v>175</v>
      </c>
      <c r="G185" s="60" t="s">
        <v>800</v>
      </c>
      <c r="H185" s="41" t="s">
        <v>807</v>
      </c>
      <c r="I185" s="41" t="s">
        <v>969</v>
      </c>
      <c r="J185" s="40" t="s">
        <v>141</v>
      </c>
      <c r="K185" s="40">
        <v>135.41</v>
      </c>
      <c r="L185" s="63" t="s">
        <v>1085</v>
      </c>
      <c r="M185" s="63" t="s">
        <v>485</v>
      </c>
      <c r="N185" s="63" t="s">
        <v>666</v>
      </c>
      <c r="O185" s="77"/>
      <c r="P185" s="77"/>
      <c r="Q185" s="77"/>
      <c r="R185" s="78">
        <v>134.39</v>
      </c>
      <c r="S185" s="78" t="s">
        <v>141</v>
      </c>
      <c r="T185" s="65" t="s">
        <v>397</v>
      </c>
      <c r="U185" s="63" t="s">
        <v>141</v>
      </c>
    </row>
    <row r="186" spans="1:21" ht="229.5">
      <c r="A186" s="77">
        <v>40</v>
      </c>
      <c r="B186" s="79" t="s">
        <v>415</v>
      </c>
      <c r="C186" s="77" t="s">
        <v>14</v>
      </c>
      <c r="D186" s="64" t="s">
        <v>1086</v>
      </c>
      <c r="E186" s="60" t="s">
        <v>853</v>
      </c>
      <c r="F186" s="60" t="s">
        <v>175</v>
      </c>
      <c r="G186" s="60" t="s">
        <v>800</v>
      </c>
      <c r="H186" s="41" t="s">
        <v>807</v>
      </c>
      <c r="I186" s="41" t="s">
        <v>1087</v>
      </c>
      <c r="J186" s="40" t="s">
        <v>141</v>
      </c>
      <c r="K186" s="40">
        <v>154.45</v>
      </c>
      <c r="L186" s="63" t="s">
        <v>1088</v>
      </c>
      <c r="M186" s="63" t="s">
        <v>1089</v>
      </c>
      <c r="N186" s="63" t="s">
        <v>1013</v>
      </c>
      <c r="O186" s="77"/>
      <c r="P186" s="77"/>
      <c r="Q186" s="77"/>
      <c r="R186" s="78">
        <v>141.38</v>
      </c>
      <c r="S186" s="78" t="s">
        <v>141</v>
      </c>
      <c r="T186" s="65" t="s">
        <v>397</v>
      </c>
      <c r="U186" s="63" t="s">
        <v>141</v>
      </c>
    </row>
    <row r="187" spans="1:21" ht="142.5">
      <c r="A187" s="77">
        <v>1</v>
      </c>
      <c r="B187" s="79" t="s">
        <v>135</v>
      </c>
      <c r="C187" s="77" t="s">
        <v>15</v>
      </c>
      <c r="D187" s="36" t="s">
        <v>1156</v>
      </c>
      <c r="E187" s="77" t="s">
        <v>1157</v>
      </c>
      <c r="F187" s="79" t="s">
        <v>138</v>
      </c>
      <c r="G187" s="44" t="s">
        <v>1158</v>
      </c>
      <c r="H187" s="80" t="s">
        <v>1158</v>
      </c>
      <c r="I187" s="90" t="s">
        <v>141</v>
      </c>
      <c r="J187" s="86">
        <v>4.5</v>
      </c>
      <c r="K187" s="86">
        <v>114.68</v>
      </c>
      <c r="L187" s="58"/>
      <c r="M187" s="58"/>
      <c r="N187" s="111"/>
      <c r="O187" s="86">
        <v>104.03</v>
      </c>
      <c r="P187" s="77"/>
      <c r="Q187" s="77"/>
      <c r="R187" s="86">
        <v>113.81</v>
      </c>
      <c r="S187" s="86">
        <v>4.5</v>
      </c>
      <c r="T187" s="85" t="s">
        <v>142</v>
      </c>
      <c r="U187" s="85" t="s">
        <v>143</v>
      </c>
    </row>
    <row r="188" spans="1:21" ht="156.75">
      <c r="A188" s="77">
        <v>2</v>
      </c>
      <c r="B188" s="79" t="s">
        <v>135</v>
      </c>
      <c r="C188" s="77" t="s">
        <v>15</v>
      </c>
      <c r="D188" s="36" t="s">
        <v>1159</v>
      </c>
      <c r="E188" s="77" t="s">
        <v>1160</v>
      </c>
      <c r="F188" s="79" t="s">
        <v>138</v>
      </c>
      <c r="G188" s="44" t="s">
        <v>1158</v>
      </c>
      <c r="H188" s="80" t="s">
        <v>1158</v>
      </c>
      <c r="I188" s="90" t="s">
        <v>141</v>
      </c>
      <c r="J188" s="86">
        <v>4.5</v>
      </c>
      <c r="K188" s="86">
        <v>114.72</v>
      </c>
      <c r="L188" s="58"/>
      <c r="M188" s="58"/>
      <c r="N188" s="111"/>
      <c r="O188" s="86">
        <v>103.56</v>
      </c>
      <c r="P188" s="77"/>
      <c r="Q188" s="77"/>
      <c r="R188" s="86">
        <v>116.21</v>
      </c>
      <c r="S188" s="86">
        <v>4.5</v>
      </c>
      <c r="T188" s="85" t="s">
        <v>142</v>
      </c>
      <c r="U188" s="85" t="s">
        <v>143</v>
      </c>
    </row>
    <row r="189" spans="1:21" ht="71.25">
      <c r="A189" s="77">
        <v>3</v>
      </c>
      <c r="B189" s="79" t="s">
        <v>135</v>
      </c>
      <c r="C189" s="77" t="s">
        <v>15</v>
      </c>
      <c r="D189" s="36" t="s">
        <v>1161</v>
      </c>
      <c r="E189" s="77" t="s">
        <v>1162</v>
      </c>
      <c r="F189" s="79" t="s">
        <v>138</v>
      </c>
      <c r="G189" s="44" t="s">
        <v>1158</v>
      </c>
      <c r="H189" s="80" t="s">
        <v>1158</v>
      </c>
      <c r="I189" s="90" t="s">
        <v>141</v>
      </c>
      <c r="J189" s="86">
        <v>7.5</v>
      </c>
      <c r="K189" s="86">
        <v>159.48</v>
      </c>
      <c r="L189" s="58"/>
      <c r="M189" s="58"/>
      <c r="N189" s="111"/>
      <c r="O189" s="86">
        <v>139.25</v>
      </c>
      <c r="P189" s="77"/>
      <c r="Q189" s="77"/>
      <c r="R189" s="86">
        <v>155.37</v>
      </c>
      <c r="S189" s="86">
        <v>7.5</v>
      </c>
      <c r="T189" s="85" t="s">
        <v>142</v>
      </c>
      <c r="U189" s="85" t="s">
        <v>143</v>
      </c>
    </row>
    <row r="190" spans="1:21" ht="85.5">
      <c r="A190" s="77">
        <v>1</v>
      </c>
      <c r="B190" s="79" t="s">
        <v>135</v>
      </c>
      <c r="C190" s="77" t="s">
        <v>15</v>
      </c>
      <c r="D190" s="36" t="s">
        <v>1163</v>
      </c>
      <c r="E190" s="77" t="s">
        <v>1164</v>
      </c>
      <c r="F190" s="79" t="s">
        <v>138</v>
      </c>
      <c r="G190" s="44" t="s">
        <v>15</v>
      </c>
      <c r="H190" s="80" t="s">
        <v>1158</v>
      </c>
      <c r="I190" s="90" t="s">
        <v>141</v>
      </c>
      <c r="J190" s="86">
        <v>4.5</v>
      </c>
      <c r="K190" s="86">
        <v>99.66</v>
      </c>
      <c r="L190" s="58"/>
      <c r="M190" s="58"/>
      <c r="N190" s="111"/>
      <c r="O190" s="86">
        <v>75.45</v>
      </c>
      <c r="P190" s="77"/>
      <c r="Q190" s="77"/>
      <c r="R190" s="86">
        <v>94.21</v>
      </c>
      <c r="S190" s="86">
        <v>4.5</v>
      </c>
      <c r="T190" s="85" t="s">
        <v>142</v>
      </c>
      <c r="U190" s="85" t="s">
        <v>143</v>
      </c>
    </row>
    <row r="191" spans="1:21" ht="57">
      <c r="A191" s="77">
        <v>4</v>
      </c>
      <c r="B191" s="79" t="s">
        <v>157</v>
      </c>
      <c r="C191" s="77" t="s">
        <v>15</v>
      </c>
      <c r="D191" s="46" t="s">
        <v>1165</v>
      </c>
      <c r="E191" s="84" t="s">
        <v>1157</v>
      </c>
      <c r="F191" s="79" t="s">
        <v>159</v>
      </c>
      <c r="G191" s="47" t="s">
        <v>1158</v>
      </c>
      <c r="H191" s="80" t="s">
        <v>1158</v>
      </c>
      <c r="I191" s="47"/>
      <c r="J191" s="78">
        <v>2.55</v>
      </c>
      <c r="K191" s="78">
        <v>180</v>
      </c>
      <c r="L191" s="48"/>
      <c r="M191" s="48"/>
      <c r="N191" s="87" t="s">
        <v>502</v>
      </c>
      <c r="O191" s="78"/>
      <c r="P191" s="78"/>
      <c r="Q191" s="78"/>
      <c r="R191" s="78">
        <v>67.89</v>
      </c>
      <c r="S191" s="78">
        <v>2.55</v>
      </c>
      <c r="T191" s="49" t="s">
        <v>142</v>
      </c>
      <c r="U191" s="85" t="s">
        <v>143</v>
      </c>
    </row>
    <row r="192" spans="1:21" ht="85.5">
      <c r="A192" s="77">
        <v>2</v>
      </c>
      <c r="B192" s="79" t="s">
        <v>157</v>
      </c>
      <c r="C192" s="77" t="s">
        <v>15</v>
      </c>
      <c r="D192" s="46" t="s">
        <v>1166</v>
      </c>
      <c r="E192" s="84" t="s">
        <v>1160</v>
      </c>
      <c r="F192" s="79" t="s">
        <v>159</v>
      </c>
      <c r="G192" s="47" t="s">
        <v>15</v>
      </c>
      <c r="H192" s="47" t="s">
        <v>15</v>
      </c>
      <c r="I192" s="47"/>
      <c r="J192" s="78">
        <v>8</v>
      </c>
      <c r="K192" s="78">
        <v>196.98</v>
      </c>
      <c r="L192" s="48"/>
      <c r="M192" s="48"/>
      <c r="N192" s="87" t="s">
        <v>1167</v>
      </c>
      <c r="O192" s="78"/>
      <c r="P192" s="78"/>
      <c r="Q192" s="78"/>
      <c r="R192" s="78">
        <v>164.12</v>
      </c>
      <c r="S192" s="78">
        <v>8</v>
      </c>
      <c r="T192" s="49" t="s">
        <v>142</v>
      </c>
      <c r="U192" s="85" t="s">
        <v>143</v>
      </c>
    </row>
    <row r="193" spans="1:21" ht="142.5">
      <c r="A193" s="77">
        <v>5</v>
      </c>
      <c r="B193" s="79" t="s">
        <v>157</v>
      </c>
      <c r="C193" s="77" t="s">
        <v>15</v>
      </c>
      <c r="D193" s="46" t="s">
        <v>1168</v>
      </c>
      <c r="E193" s="84" t="s">
        <v>1164</v>
      </c>
      <c r="F193" s="79" t="s">
        <v>159</v>
      </c>
      <c r="G193" s="47" t="s">
        <v>1158</v>
      </c>
      <c r="H193" s="47" t="s">
        <v>15</v>
      </c>
      <c r="I193" s="47"/>
      <c r="J193" s="78">
        <v>5</v>
      </c>
      <c r="K193" s="78">
        <v>152</v>
      </c>
      <c r="L193" s="48"/>
      <c r="M193" s="48"/>
      <c r="N193" s="87" t="s">
        <v>1169</v>
      </c>
      <c r="O193" s="78"/>
      <c r="P193" s="78"/>
      <c r="Q193" s="78"/>
      <c r="R193" s="78">
        <v>135.43</v>
      </c>
      <c r="S193" s="78">
        <v>5</v>
      </c>
      <c r="T193" s="49" t="s">
        <v>142</v>
      </c>
      <c r="U193" s="85" t="s">
        <v>143</v>
      </c>
    </row>
    <row r="194" spans="1:21" ht="128.25">
      <c r="A194" s="77">
        <v>6</v>
      </c>
      <c r="B194" s="79" t="s">
        <v>157</v>
      </c>
      <c r="C194" s="77" t="s">
        <v>15</v>
      </c>
      <c r="D194" s="46" t="s">
        <v>1170</v>
      </c>
      <c r="E194" s="84" t="s">
        <v>1171</v>
      </c>
      <c r="F194" s="79" t="s">
        <v>159</v>
      </c>
      <c r="G194" s="47" t="s">
        <v>1158</v>
      </c>
      <c r="H194" s="47" t="s">
        <v>15</v>
      </c>
      <c r="I194" s="47"/>
      <c r="J194" s="78">
        <v>5</v>
      </c>
      <c r="K194" s="78">
        <v>148</v>
      </c>
      <c r="L194" s="48"/>
      <c r="M194" s="48"/>
      <c r="N194" s="87" t="s">
        <v>1172</v>
      </c>
      <c r="O194" s="78"/>
      <c r="P194" s="78"/>
      <c r="Q194" s="78"/>
      <c r="R194" s="78">
        <v>159.5</v>
      </c>
      <c r="S194" s="78">
        <v>5</v>
      </c>
      <c r="T194" s="49" t="s">
        <v>142</v>
      </c>
      <c r="U194" s="85" t="s">
        <v>143</v>
      </c>
    </row>
    <row r="195" spans="1:21" ht="85.5">
      <c r="A195" s="77">
        <v>7</v>
      </c>
      <c r="B195" s="79" t="s">
        <v>157</v>
      </c>
      <c r="C195" s="77" t="s">
        <v>15</v>
      </c>
      <c r="D195" s="46" t="s">
        <v>1173</v>
      </c>
      <c r="E195" s="204" t="s">
        <v>1174</v>
      </c>
      <c r="F195" s="79" t="s">
        <v>159</v>
      </c>
      <c r="G195" s="47" t="s">
        <v>1158</v>
      </c>
      <c r="H195" s="80" t="s">
        <v>1158</v>
      </c>
      <c r="I195" s="47"/>
      <c r="J195" s="78">
        <v>8</v>
      </c>
      <c r="K195" s="192">
        <v>220</v>
      </c>
      <c r="L195" s="48"/>
      <c r="M195" s="48"/>
      <c r="N195" s="193" t="s">
        <v>1175</v>
      </c>
      <c r="O195" s="78"/>
      <c r="P195" s="78"/>
      <c r="Q195" s="78"/>
      <c r="R195" s="78">
        <v>183.62</v>
      </c>
      <c r="S195" s="78">
        <v>8</v>
      </c>
      <c r="T195" s="49" t="s">
        <v>142</v>
      </c>
      <c r="U195" s="85" t="s">
        <v>143</v>
      </c>
    </row>
    <row r="196" spans="1:21" ht="114">
      <c r="A196" s="77">
        <v>8</v>
      </c>
      <c r="B196" s="79" t="s">
        <v>157</v>
      </c>
      <c r="C196" s="77" t="s">
        <v>15</v>
      </c>
      <c r="D196" s="46" t="s">
        <v>1176</v>
      </c>
      <c r="E196" s="204"/>
      <c r="F196" s="79" t="s">
        <v>159</v>
      </c>
      <c r="G196" s="47" t="s">
        <v>1158</v>
      </c>
      <c r="H196" s="80" t="s">
        <v>1158</v>
      </c>
      <c r="I196" s="47"/>
      <c r="J196" s="78">
        <v>2</v>
      </c>
      <c r="K196" s="192"/>
      <c r="L196" s="48"/>
      <c r="M196" s="48"/>
      <c r="N196" s="193"/>
      <c r="O196" s="78"/>
      <c r="P196" s="78"/>
      <c r="Q196" s="78"/>
      <c r="R196" s="78">
        <v>41.73</v>
      </c>
      <c r="S196" s="78">
        <v>2</v>
      </c>
      <c r="T196" s="49" t="s">
        <v>142</v>
      </c>
      <c r="U196" s="85" t="s">
        <v>143</v>
      </c>
    </row>
    <row r="197" spans="1:21" ht="105">
      <c r="A197" s="77">
        <v>3</v>
      </c>
      <c r="B197" s="79" t="s">
        <v>176</v>
      </c>
      <c r="C197" s="77" t="s">
        <v>15</v>
      </c>
      <c r="D197" s="37" t="s">
        <v>1177</v>
      </c>
      <c r="E197" s="84" t="s">
        <v>1162</v>
      </c>
      <c r="F197" s="79" t="s">
        <v>159</v>
      </c>
      <c r="G197" s="79" t="s">
        <v>15</v>
      </c>
      <c r="H197" s="79" t="s">
        <v>15</v>
      </c>
      <c r="I197" s="79" t="s">
        <v>1178</v>
      </c>
      <c r="J197" s="51">
        <v>8.25</v>
      </c>
      <c r="K197" s="51">
        <v>210.23</v>
      </c>
      <c r="L197" s="80" t="s">
        <v>1179</v>
      </c>
      <c r="M197" s="80" t="s">
        <v>1180</v>
      </c>
      <c r="N197" s="125" t="s">
        <v>1181</v>
      </c>
      <c r="O197" s="51">
        <v>351.05</v>
      </c>
      <c r="P197" s="51">
        <v>19.9</v>
      </c>
      <c r="Q197" s="51">
        <f>SUM(O197:P197)</f>
        <v>370.95</v>
      </c>
      <c r="R197" s="51">
        <v>370.6</v>
      </c>
      <c r="S197" s="51">
        <v>8.25</v>
      </c>
      <c r="T197" s="83" t="s">
        <v>142</v>
      </c>
      <c r="U197" s="85" t="s">
        <v>143</v>
      </c>
    </row>
    <row r="198" spans="1:21" ht="128.25">
      <c r="A198" s="77">
        <v>9</v>
      </c>
      <c r="B198" s="79" t="s">
        <v>185</v>
      </c>
      <c r="C198" s="77" t="s">
        <v>15</v>
      </c>
      <c r="D198" s="36" t="s">
        <v>1182</v>
      </c>
      <c r="E198" s="204" t="s">
        <v>1183</v>
      </c>
      <c r="F198" s="79" t="s">
        <v>135</v>
      </c>
      <c r="G198" s="79" t="s">
        <v>1158</v>
      </c>
      <c r="H198" s="80" t="s">
        <v>1158</v>
      </c>
      <c r="I198" s="183" t="s">
        <v>192</v>
      </c>
      <c r="J198" s="51">
        <v>10.3</v>
      </c>
      <c r="K198" s="51">
        <v>115.93</v>
      </c>
      <c r="L198" s="183" t="s">
        <v>1184</v>
      </c>
      <c r="M198" s="183" t="s">
        <v>1185</v>
      </c>
      <c r="N198" s="183" t="s">
        <v>1186</v>
      </c>
      <c r="O198" s="84">
        <v>84.37</v>
      </c>
      <c r="P198" s="84">
        <v>8.27</v>
      </c>
      <c r="Q198" s="84">
        <f>SUM(O198:P198)</f>
        <v>92.64</v>
      </c>
      <c r="R198" s="51">
        <v>107.24</v>
      </c>
      <c r="S198" s="51">
        <v>10.3</v>
      </c>
      <c r="T198" s="83" t="s">
        <v>142</v>
      </c>
      <c r="U198" s="85" t="s">
        <v>143</v>
      </c>
    </row>
    <row r="199" spans="1:21" ht="99.75">
      <c r="A199" s="77">
        <v>4</v>
      </c>
      <c r="B199" s="79" t="s">
        <v>185</v>
      </c>
      <c r="C199" s="77" t="s">
        <v>15</v>
      </c>
      <c r="D199" s="36" t="s">
        <v>1187</v>
      </c>
      <c r="E199" s="204"/>
      <c r="F199" s="79" t="s">
        <v>135</v>
      </c>
      <c r="G199" s="79" t="s">
        <v>15</v>
      </c>
      <c r="H199" s="79" t="s">
        <v>15</v>
      </c>
      <c r="I199" s="183"/>
      <c r="J199" s="51">
        <v>1.07</v>
      </c>
      <c r="K199" s="51">
        <v>13.11</v>
      </c>
      <c r="L199" s="183"/>
      <c r="M199" s="183"/>
      <c r="N199" s="183"/>
      <c r="O199" s="84">
        <v>9.53</v>
      </c>
      <c r="P199" s="84"/>
      <c r="Q199" s="84">
        <f>SUM(O199:P199)</f>
        <v>9.53</v>
      </c>
      <c r="R199" s="51">
        <v>8.01</v>
      </c>
      <c r="S199" s="51">
        <v>1.07</v>
      </c>
      <c r="T199" s="83" t="s">
        <v>142</v>
      </c>
      <c r="U199" s="85" t="s">
        <v>1188</v>
      </c>
    </row>
    <row r="200" spans="1:21" ht="60">
      <c r="A200" s="77">
        <v>10</v>
      </c>
      <c r="B200" s="79" t="s">
        <v>202</v>
      </c>
      <c r="C200" s="77" t="s">
        <v>15</v>
      </c>
      <c r="D200" s="37" t="s">
        <v>1189</v>
      </c>
      <c r="E200" s="84" t="s">
        <v>1157</v>
      </c>
      <c r="F200" s="79" t="s">
        <v>135</v>
      </c>
      <c r="G200" s="79" t="s">
        <v>1158</v>
      </c>
      <c r="H200" s="80" t="s">
        <v>1158</v>
      </c>
      <c r="I200" s="79" t="s">
        <v>192</v>
      </c>
      <c r="J200" s="80">
        <v>17</v>
      </c>
      <c r="K200" s="80">
        <v>275.09</v>
      </c>
      <c r="L200" s="80" t="s">
        <v>1190</v>
      </c>
      <c r="M200" s="80" t="s">
        <v>1191</v>
      </c>
      <c r="N200" s="80" t="s">
        <v>1191</v>
      </c>
      <c r="O200" s="80">
        <v>378.56</v>
      </c>
      <c r="P200" s="80">
        <v>12.93</v>
      </c>
      <c r="Q200" s="80">
        <f>SUM(O200:P200)</f>
        <v>391.49</v>
      </c>
      <c r="R200" s="80">
        <v>389.51</v>
      </c>
      <c r="S200" s="80">
        <v>17</v>
      </c>
      <c r="T200" s="85" t="s">
        <v>142</v>
      </c>
      <c r="U200" s="85" t="s">
        <v>143</v>
      </c>
    </row>
    <row r="201" spans="1:21" ht="85.5">
      <c r="A201" s="77">
        <v>11</v>
      </c>
      <c r="B201" s="79" t="s">
        <v>221</v>
      </c>
      <c r="C201" s="77" t="s">
        <v>15</v>
      </c>
      <c r="D201" s="36" t="s">
        <v>1192</v>
      </c>
      <c r="E201" s="51" t="s">
        <v>1157</v>
      </c>
      <c r="F201" s="79" t="s">
        <v>135</v>
      </c>
      <c r="G201" s="52" t="s">
        <v>1158</v>
      </c>
      <c r="H201" s="52" t="s">
        <v>15</v>
      </c>
      <c r="I201" s="79" t="s">
        <v>1193</v>
      </c>
      <c r="J201" s="80">
        <v>4.65</v>
      </c>
      <c r="K201" s="80">
        <v>111.94</v>
      </c>
      <c r="L201" s="80" t="s">
        <v>1194</v>
      </c>
      <c r="M201" s="80" t="s">
        <v>1195</v>
      </c>
      <c r="N201" s="80" t="s">
        <v>1196</v>
      </c>
      <c r="O201" s="80">
        <v>99.48</v>
      </c>
      <c r="P201" s="80"/>
      <c r="Q201" s="80">
        <f aca="true" t="shared" si="11" ref="Q201:Q208">SUM(O201:P201)</f>
        <v>99.48</v>
      </c>
      <c r="R201" s="80">
        <v>97.65</v>
      </c>
      <c r="S201" s="80">
        <v>4.65</v>
      </c>
      <c r="T201" s="83" t="s">
        <v>142</v>
      </c>
      <c r="U201" s="85" t="s">
        <v>143</v>
      </c>
    </row>
    <row r="202" spans="1:21" ht="85.5">
      <c r="A202" s="77">
        <v>12</v>
      </c>
      <c r="B202" s="79" t="s">
        <v>221</v>
      </c>
      <c r="C202" s="77" t="s">
        <v>15</v>
      </c>
      <c r="D202" s="36" t="s">
        <v>1197</v>
      </c>
      <c r="E202" s="51" t="s">
        <v>1160</v>
      </c>
      <c r="F202" s="79" t="s">
        <v>135</v>
      </c>
      <c r="G202" s="52" t="s">
        <v>1158</v>
      </c>
      <c r="H202" s="80" t="s">
        <v>1158</v>
      </c>
      <c r="I202" s="79" t="s">
        <v>1198</v>
      </c>
      <c r="J202" s="80">
        <v>16</v>
      </c>
      <c r="K202" s="80">
        <v>415.05</v>
      </c>
      <c r="L202" s="80" t="s">
        <v>1199</v>
      </c>
      <c r="M202" s="80" t="s">
        <v>1200</v>
      </c>
      <c r="N202" s="80" t="s">
        <v>1201</v>
      </c>
      <c r="O202" s="80">
        <v>382.36</v>
      </c>
      <c r="P202" s="80"/>
      <c r="Q202" s="80">
        <f t="shared" si="11"/>
        <v>382.36</v>
      </c>
      <c r="R202" s="80">
        <v>478.07</v>
      </c>
      <c r="S202" s="80">
        <v>16</v>
      </c>
      <c r="T202" s="83" t="s">
        <v>142</v>
      </c>
      <c r="U202" s="85" t="s">
        <v>143</v>
      </c>
    </row>
    <row r="203" spans="1:21" ht="99.75">
      <c r="A203" s="77">
        <v>5</v>
      </c>
      <c r="B203" s="79" t="s">
        <v>221</v>
      </c>
      <c r="C203" s="77" t="s">
        <v>15</v>
      </c>
      <c r="D203" s="36" t="s">
        <v>1202</v>
      </c>
      <c r="E203" s="51" t="s">
        <v>1162</v>
      </c>
      <c r="F203" s="79" t="s">
        <v>135</v>
      </c>
      <c r="G203" s="52" t="s">
        <v>15</v>
      </c>
      <c r="H203" s="52" t="s">
        <v>15</v>
      </c>
      <c r="I203" s="79" t="s">
        <v>192</v>
      </c>
      <c r="J203" s="80">
        <v>8.5</v>
      </c>
      <c r="K203" s="80">
        <v>229.19</v>
      </c>
      <c r="L203" s="80" t="s">
        <v>1203</v>
      </c>
      <c r="M203" s="80" t="s">
        <v>1204</v>
      </c>
      <c r="N203" s="80" t="s">
        <v>523</v>
      </c>
      <c r="O203" s="80">
        <v>226.82</v>
      </c>
      <c r="P203" s="80"/>
      <c r="Q203" s="80">
        <f t="shared" si="11"/>
        <v>226.82</v>
      </c>
      <c r="R203" s="80">
        <v>224.51</v>
      </c>
      <c r="S203" s="80">
        <v>8.5</v>
      </c>
      <c r="T203" s="83" t="s">
        <v>142</v>
      </c>
      <c r="U203" s="85" t="s">
        <v>143</v>
      </c>
    </row>
    <row r="204" spans="1:21" ht="85.5">
      <c r="A204" s="77">
        <v>13</v>
      </c>
      <c r="B204" s="79" t="s">
        <v>221</v>
      </c>
      <c r="C204" s="77" t="s">
        <v>15</v>
      </c>
      <c r="D204" s="36" t="s">
        <v>1205</v>
      </c>
      <c r="E204" s="51" t="s">
        <v>1164</v>
      </c>
      <c r="F204" s="79" t="s">
        <v>135</v>
      </c>
      <c r="G204" s="52" t="s">
        <v>1158</v>
      </c>
      <c r="H204" s="52" t="s">
        <v>15</v>
      </c>
      <c r="I204" s="79" t="s">
        <v>1206</v>
      </c>
      <c r="J204" s="80">
        <v>9.5</v>
      </c>
      <c r="K204" s="80">
        <v>237.65</v>
      </c>
      <c r="L204" s="80" t="s">
        <v>1194</v>
      </c>
      <c r="M204" s="80" t="s">
        <v>1195</v>
      </c>
      <c r="N204" s="80" t="s">
        <v>1207</v>
      </c>
      <c r="O204" s="80">
        <v>230.97</v>
      </c>
      <c r="P204" s="80">
        <v>34.83</v>
      </c>
      <c r="Q204" s="80">
        <f t="shared" si="11"/>
        <v>265.8</v>
      </c>
      <c r="R204" s="80">
        <v>271.9</v>
      </c>
      <c r="S204" s="80">
        <v>9.5</v>
      </c>
      <c r="T204" s="83" t="s">
        <v>142</v>
      </c>
      <c r="U204" s="85" t="s">
        <v>143</v>
      </c>
    </row>
    <row r="205" spans="1:21" ht="128.25">
      <c r="A205" s="77">
        <v>14</v>
      </c>
      <c r="B205" s="79" t="s">
        <v>221</v>
      </c>
      <c r="C205" s="77" t="s">
        <v>15</v>
      </c>
      <c r="D205" s="36" t="s">
        <v>1208</v>
      </c>
      <c r="E205" s="51" t="s">
        <v>1171</v>
      </c>
      <c r="F205" s="79" t="s">
        <v>135</v>
      </c>
      <c r="G205" s="52" t="s">
        <v>1158</v>
      </c>
      <c r="H205" s="52" t="s">
        <v>15</v>
      </c>
      <c r="I205" s="79" t="s">
        <v>227</v>
      </c>
      <c r="J205" s="80">
        <v>7</v>
      </c>
      <c r="K205" s="80">
        <v>160</v>
      </c>
      <c r="L205" s="80" t="s">
        <v>1209</v>
      </c>
      <c r="M205" s="80" t="s">
        <v>1210</v>
      </c>
      <c r="N205" s="80" t="s">
        <v>1196</v>
      </c>
      <c r="O205" s="80">
        <v>158.1</v>
      </c>
      <c r="P205" s="80">
        <v>34.26</v>
      </c>
      <c r="Q205" s="80">
        <f t="shared" si="11"/>
        <v>192.35999999999999</v>
      </c>
      <c r="R205" s="80">
        <v>192.35</v>
      </c>
      <c r="S205" s="80">
        <v>7</v>
      </c>
      <c r="T205" s="83" t="s">
        <v>142</v>
      </c>
      <c r="U205" s="85" t="s">
        <v>143</v>
      </c>
    </row>
    <row r="206" spans="1:21" ht="85.5">
      <c r="A206" s="77">
        <v>15</v>
      </c>
      <c r="B206" s="79" t="s">
        <v>221</v>
      </c>
      <c r="C206" s="77" t="s">
        <v>15</v>
      </c>
      <c r="D206" s="36" t="s">
        <v>1211</v>
      </c>
      <c r="E206" s="84" t="s">
        <v>1174</v>
      </c>
      <c r="F206" s="79" t="s">
        <v>135</v>
      </c>
      <c r="G206" s="52" t="s">
        <v>1158</v>
      </c>
      <c r="H206" s="80" t="s">
        <v>1158</v>
      </c>
      <c r="I206" s="79" t="s">
        <v>192</v>
      </c>
      <c r="J206" s="80">
        <v>12</v>
      </c>
      <c r="K206" s="80">
        <v>223.87</v>
      </c>
      <c r="L206" s="80" t="s">
        <v>1212</v>
      </c>
      <c r="M206" s="80" t="s">
        <v>1213</v>
      </c>
      <c r="N206" s="80" t="s">
        <v>1201</v>
      </c>
      <c r="O206" s="80">
        <v>267.54</v>
      </c>
      <c r="P206" s="80"/>
      <c r="Q206" s="80">
        <f t="shared" si="11"/>
        <v>267.54</v>
      </c>
      <c r="R206" s="80">
        <v>280.24</v>
      </c>
      <c r="S206" s="80">
        <v>12</v>
      </c>
      <c r="T206" s="83" t="s">
        <v>142</v>
      </c>
      <c r="U206" s="85" t="s">
        <v>143</v>
      </c>
    </row>
    <row r="207" spans="1:21" ht="71.25">
      <c r="A207" s="77">
        <v>6</v>
      </c>
      <c r="B207" s="79" t="s">
        <v>221</v>
      </c>
      <c r="C207" s="77" t="s">
        <v>15</v>
      </c>
      <c r="D207" s="36" t="s">
        <v>1214</v>
      </c>
      <c r="E207" s="51" t="s">
        <v>1215</v>
      </c>
      <c r="F207" s="79" t="s">
        <v>135</v>
      </c>
      <c r="G207" s="52" t="s">
        <v>15</v>
      </c>
      <c r="H207" s="52" t="s">
        <v>15</v>
      </c>
      <c r="I207" s="79" t="s">
        <v>540</v>
      </c>
      <c r="J207" s="80">
        <v>6</v>
      </c>
      <c r="K207" s="80">
        <v>170.4</v>
      </c>
      <c r="L207" s="80" t="s">
        <v>1216</v>
      </c>
      <c r="M207" s="80" t="s">
        <v>1195</v>
      </c>
      <c r="N207" s="80" t="s">
        <v>1207</v>
      </c>
      <c r="O207" s="80">
        <v>165.9</v>
      </c>
      <c r="P207" s="80">
        <v>4.5</v>
      </c>
      <c r="Q207" s="80">
        <f t="shared" si="11"/>
        <v>170.4</v>
      </c>
      <c r="R207" s="80">
        <v>209.43</v>
      </c>
      <c r="S207" s="80">
        <v>6</v>
      </c>
      <c r="T207" s="83" t="s">
        <v>142</v>
      </c>
      <c r="U207" s="85" t="s">
        <v>143</v>
      </c>
    </row>
    <row r="208" spans="1:21" ht="57">
      <c r="A208" s="77">
        <v>7</v>
      </c>
      <c r="B208" s="79" t="s">
        <v>221</v>
      </c>
      <c r="C208" s="77" t="s">
        <v>15</v>
      </c>
      <c r="D208" s="36" t="s">
        <v>1217</v>
      </c>
      <c r="E208" s="51" t="s">
        <v>1218</v>
      </c>
      <c r="F208" s="79" t="s">
        <v>135</v>
      </c>
      <c r="G208" s="52" t="s">
        <v>15</v>
      </c>
      <c r="H208" s="52" t="s">
        <v>15</v>
      </c>
      <c r="I208" s="79" t="s">
        <v>1219</v>
      </c>
      <c r="J208" s="80">
        <v>4.03</v>
      </c>
      <c r="K208" s="80">
        <v>91.51</v>
      </c>
      <c r="L208" s="80" t="s">
        <v>1194</v>
      </c>
      <c r="M208" s="80" t="s">
        <v>1220</v>
      </c>
      <c r="N208" s="80" t="s">
        <v>230</v>
      </c>
      <c r="O208" s="80">
        <v>75.04</v>
      </c>
      <c r="P208" s="80"/>
      <c r="Q208" s="80">
        <f t="shared" si="11"/>
        <v>75.04</v>
      </c>
      <c r="R208" s="80">
        <v>102.89</v>
      </c>
      <c r="S208" s="80">
        <v>4.03</v>
      </c>
      <c r="T208" s="83" t="s">
        <v>142</v>
      </c>
      <c r="U208" s="85" t="s">
        <v>143</v>
      </c>
    </row>
    <row r="209" spans="1:21" ht="85.5">
      <c r="A209" s="77">
        <v>16</v>
      </c>
      <c r="B209" s="79" t="s">
        <v>244</v>
      </c>
      <c r="C209" s="77" t="s">
        <v>15</v>
      </c>
      <c r="D209" s="36" t="s">
        <v>1221</v>
      </c>
      <c r="E209" s="51" t="s">
        <v>1157</v>
      </c>
      <c r="F209" s="79" t="s">
        <v>135</v>
      </c>
      <c r="G209" s="53" t="s">
        <v>1158</v>
      </c>
      <c r="H209" s="80" t="s">
        <v>1158</v>
      </c>
      <c r="I209" s="81" t="s">
        <v>1222</v>
      </c>
      <c r="J209" s="80">
        <v>4.5</v>
      </c>
      <c r="K209" s="80">
        <v>94.48</v>
      </c>
      <c r="L209" s="80" t="s">
        <v>1223</v>
      </c>
      <c r="M209" s="80" t="s">
        <v>1224</v>
      </c>
      <c r="N209" s="80" t="s">
        <v>616</v>
      </c>
      <c r="O209" s="80">
        <v>64.44</v>
      </c>
      <c r="P209" s="80"/>
      <c r="Q209" s="80">
        <f aca="true" t="shared" si="12" ref="Q209:Q218">SUM(O209:P209)</f>
        <v>64.44</v>
      </c>
      <c r="R209" s="80">
        <f>64.22+6.14</f>
        <v>70.36</v>
      </c>
      <c r="S209" s="80">
        <v>4.5</v>
      </c>
      <c r="T209" s="85" t="s">
        <v>142</v>
      </c>
      <c r="U209" s="83" t="s">
        <v>143</v>
      </c>
    </row>
    <row r="210" spans="1:21" ht="85.5">
      <c r="A210" s="77">
        <v>17</v>
      </c>
      <c r="B210" s="79" t="s">
        <v>244</v>
      </c>
      <c r="C210" s="77" t="s">
        <v>15</v>
      </c>
      <c r="D210" s="36" t="s">
        <v>1225</v>
      </c>
      <c r="E210" s="51" t="s">
        <v>1160</v>
      </c>
      <c r="F210" s="79" t="s">
        <v>135</v>
      </c>
      <c r="G210" s="53" t="s">
        <v>1158</v>
      </c>
      <c r="H210" s="80" t="s">
        <v>1158</v>
      </c>
      <c r="I210" s="81" t="s">
        <v>1226</v>
      </c>
      <c r="J210" s="80">
        <v>5.63</v>
      </c>
      <c r="K210" s="80">
        <v>111.29</v>
      </c>
      <c r="L210" s="80" t="s">
        <v>1227</v>
      </c>
      <c r="M210" s="80" t="s">
        <v>523</v>
      </c>
      <c r="N210" s="80" t="s">
        <v>216</v>
      </c>
      <c r="O210" s="80">
        <v>82.05</v>
      </c>
      <c r="P210" s="80"/>
      <c r="Q210" s="80">
        <f t="shared" si="12"/>
        <v>82.05</v>
      </c>
      <c r="R210" s="80">
        <v>79.67</v>
      </c>
      <c r="S210" s="80">
        <v>5.63</v>
      </c>
      <c r="T210" s="85" t="s">
        <v>142</v>
      </c>
      <c r="U210" s="83" t="s">
        <v>261</v>
      </c>
    </row>
    <row r="211" spans="1:21" ht="85.5">
      <c r="A211" s="77">
        <v>18</v>
      </c>
      <c r="B211" s="79" t="s">
        <v>244</v>
      </c>
      <c r="C211" s="77" t="s">
        <v>15</v>
      </c>
      <c r="D211" s="36" t="s">
        <v>1228</v>
      </c>
      <c r="E211" s="51" t="s">
        <v>1162</v>
      </c>
      <c r="F211" s="79" t="s">
        <v>135</v>
      </c>
      <c r="G211" s="53" t="s">
        <v>1158</v>
      </c>
      <c r="H211" s="80" t="s">
        <v>1158</v>
      </c>
      <c r="I211" s="81" t="s">
        <v>296</v>
      </c>
      <c r="J211" s="80">
        <v>19</v>
      </c>
      <c r="K211" s="80">
        <v>444.35</v>
      </c>
      <c r="L211" s="80" t="s">
        <v>1227</v>
      </c>
      <c r="M211" s="80" t="s">
        <v>1201</v>
      </c>
      <c r="N211" s="80" t="s">
        <v>1229</v>
      </c>
      <c r="O211" s="80">
        <v>439.99</v>
      </c>
      <c r="P211" s="80">
        <f>79.44+15.9+77.7</f>
        <v>173.04000000000002</v>
      </c>
      <c r="Q211" s="80">
        <f>SUM(O211:P211)</f>
        <v>613.03</v>
      </c>
      <c r="R211" s="80">
        <v>598.42</v>
      </c>
      <c r="S211" s="80">
        <v>19</v>
      </c>
      <c r="T211" s="85" t="s">
        <v>142</v>
      </c>
      <c r="U211" s="83" t="s">
        <v>143</v>
      </c>
    </row>
    <row r="212" spans="1:21" ht="128.25">
      <c r="A212" s="77">
        <v>19</v>
      </c>
      <c r="B212" s="79" t="s">
        <v>244</v>
      </c>
      <c r="C212" s="77" t="s">
        <v>15</v>
      </c>
      <c r="D212" s="36" t="s">
        <v>1230</v>
      </c>
      <c r="E212" s="51" t="s">
        <v>1164</v>
      </c>
      <c r="F212" s="79" t="s">
        <v>135</v>
      </c>
      <c r="G212" s="53" t="s">
        <v>1158</v>
      </c>
      <c r="H212" s="80" t="s">
        <v>1158</v>
      </c>
      <c r="I212" s="81" t="s">
        <v>1231</v>
      </c>
      <c r="J212" s="80">
        <v>4.5</v>
      </c>
      <c r="K212" s="80">
        <v>108.72</v>
      </c>
      <c r="L212" s="80" t="s">
        <v>1227</v>
      </c>
      <c r="M212" s="80" t="s">
        <v>1232</v>
      </c>
      <c r="N212" s="80" t="s">
        <v>1207</v>
      </c>
      <c r="O212" s="80">
        <v>103.6</v>
      </c>
      <c r="P212" s="80"/>
      <c r="Q212" s="80">
        <f t="shared" si="12"/>
        <v>103.6</v>
      </c>
      <c r="R212" s="80">
        <v>103.6</v>
      </c>
      <c r="S212" s="80">
        <v>4.5</v>
      </c>
      <c r="T212" s="85" t="s">
        <v>142</v>
      </c>
      <c r="U212" s="83" t="s">
        <v>143</v>
      </c>
    </row>
    <row r="213" spans="1:21" ht="71.25">
      <c r="A213" s="77">
        <v>20</v>
      </c>
      <c r="B213" s="79" t="s">
        <v>244</v>
      </c>
      <c r="C213" s="77" t="s">
        <v>15</v>
      </c>
      <c r="D213" s="36" t="s">
        <v>1233</v>
      </c>
      <c r="E213" s="51" t="s">
        <v>1171</v>
      </c>
      <c r="F213" s="79" t="s">
        <v>135</v>
      </c>
      <c r="G213" s="53" t="s">
        <v>1158</v>
      </c>
      <c r="H213" s="80" t="s">
        <v>1158</v>
      </c>
      <c r="I213" s="81" t="s">
        <v>204</v>
      </c>
      <c r="J213" s="80">
        <v>14.9</v>
      </c>
      <c r="K213" s="80">
        <v>545.97</v>
      </c>
      <c r="L213" s="80" t="s">
        <v>1223</v>
      </c>
      <c r="M213" s="80" t="s">
        <v>1234</v>
      </c>
      <c r="N213" s="80" t="s">
        <v>254</v>
      </c>
      <c r="O213" s="80">
        <v>685.22</v>
      </c>
      <c r="P213" s="80"/>
      <c r="Q213" s="80">
        <f t="shared" si="12"/>
        <v>685.22</v>
      </c>
      <c r="R213" s="80">
        <v>685.1</v>
      </c>
      <c r="S213" s="80">
        <v>14.9</v>
      </c>
      <c r="T213" s="85" t="s">
        <v>142</v>
      </c>
      <c r="U213" s="83" t="s">
        <v>143</v>
      </c>
    </row>
    <row r="214" spans="1:21" ht="128.25">
      <c r="A214" s="77">
        <v>21</v>
      </c>
      <c r="B214" s="79" t="s">
        <v>244</v>
      </c>
      <c r="C214" s="77" t="s">
        <v>15</v>
      </c>
      <c r="D214" s="36" t="s">
        <v>1235</v>
      </c>
      <c r="E214" s="51" t="s">
        <v>1174</v>
      </c>
      <c r="F214" s="80" t="s">
        <v>391</v>
      </c>
      <c r="G214" s="53" t="s">
        <v>1158</v>
      </c>
      <c r="H214" s="80" t="s">
        <v>1158</v>
      </c>
      <c r="I214" s="81" t="s">
        <v>1231</v>
      </c>
      <c r="J214" s="80">
        <v>1</v>
      </c>
      <c r="K214" s="80">
        <v>39.56</v>
      </c>
      <c r="L214" s="80" t="s">
        <v>1227</v>
      </c>
      <c r="M214" s="80" t="s">
        <v>1207</v>
      </c>
      <c r="N214" s="80" t="s">
        <v>1207</v>
      </c>
      <c r="O214" s="80">
        <v>39.55</v>
      </c>
      <c r="P214" s="80"/>
      <c r="Q214" s="80">
        <f t="shared" si="12"/>
        <v>39.55</v>
      </c>
      <c r="R214" s="80">
        <v>38.67</v>
      </c>
      <c r="S214" s="80">
        <v>1</v>
      </c>
      <c r="T214" s="85" t="s">
        <v>142</v>
      </c>
      <c r="U214" s="83" t="s">
        <v>261</v>
      </c>
    </row>
    <row r="215" spans="1:21" ht="105">
      <c r="A215" s="77">
        <v>8</v>
      </c>
      <c r="B215" s="79" t="s">
        <v>279</v>
      </c>
      <c r="C215" s="77" t="s">
        <v>15</v>
      </c>
      <c r="D215" s="37" t="s">
        <v>1236</v>
      </c>
      <c r="E215" s="51" t="s">
        <v>1157</v>
      </c>
      <c r="F215" s="79" t="s">
        <v>135</v>
      </c>
      <c r="G215" s="79" t="s">
        <v>15</v>
      </c>
      <c r="H215" s="79" t="s">
        <v>15</v>
      </c>
      <c r="I215" s="79" t="s">
        <v>296</v>
      </c>
      <c r="J215" s="80">
        <v>20</v>
      </c>
      <c r="K215" s="80">
        <v>930.19</v>
      </c>
      <c r="L215" s="79" t="s">
        <v>1237</v>
      </c>
      <c r="M215" s="79" t="s">
        <v>373</v>
      </c>
      <c r="N215" s="79" t="s">
        <v>380</v>
      </c>
      <c r="O215" s="80">
        <v>790.76</v>
      </c>
      <c r="P215" s="80"/>
      <c r="Q215" s="80">
        <f t="shared" si="12"/>
        <v>790.76</v>
      </c>
      <c r="R215" s="80">
        <f>809.43+39.48</f>
        <v>848.91</v>
      </c>
      <c r="S215" s="80">
        <v>20</v>
      </c>
      <c r="T215" s="83" t="s">
        <v>142</v>
      </c>
      <c r="U215" s="83" t="s">
        <v>143</v>
      </c>
    </row>
    <row r="216" spans="1:21" ht="75">
      <c r="A216" s="77">
        <v>22</v>
      </c>
      <c r="B216" s="79" t="s">
        <v>279</v>
      </c>
      <c r="C216" s="77" t="s">
        <v>15</v>
      </c>
      <c r="D216" s="37" t="s">
        <v>1238</v>
      </c>
      <c r="E216" s="51" t="s">
        <v>1160</v>
      </c>
      <c r="F216" s="79" t="s">
        <v>135</v>
      </c>
      <c r="G216" s="79" t="s">
        <v>1158</v>
      </c>
      <c r="H216" s="80" t="s">
        <v>1158</v>
      </c>
      <c r="I216" s="84" t="s">
        <v>1239</v>
      </c>
      <c r="J216" s="80">
        <v>20</v>
      </c>
      <c r="K216" s="80">
        <v>576.66</v>
      </c>
      <c r="L216" s="79" t="s">
        <v>1240</v>
      </c>
      <c r="M216" s="79" t="s">
        <v>1241</v>
      </c>
      <c r="N216" s="79" t="s">
        <v>1242</v>
      </c>
      <c r="O216" s="80">
        <v>562.82</v>
      </c>
      <c r="P216" s="80"/>
      <c r="Q216" s="80">
        <f t="shared" si="12"/>
        <v>562.82</v>
      </c>
      <c r="R216" s="80">
        <f>505.68+59.38</f>
        <v>565.0600000000001</v>
      </c>
      <c r="S216" s="80">
        <v>20</v>
      </c>
      <c r="T216" s="92" t="s">
        <v>142</v>
      </c>
      <c r="U216" s="83" t="s">
        <v>143</v>
      </c>
    </row>
    <row r="217" spans="1:21" ht="120">
      <c r="A217" s="77">
        <v>23</v>
      </c>
      <c r="B217" s="79" t="s">
        <v>279</v>
      </c>
      <c r="C217" s="77" t="s">
        <v>15</v>
      </c>
      <c r="D217" s="37" t="s">
        <v>1243</v>
      </c>
      <c r="E217" s="51" t="s">
        <v>1162</v>
      </c>
      <c r="F217" s="79" t="s">
        <v>135</v>
      </c>
      <c r="G217" s="79" t="s">
        <v>1158</v>
      </c>
      <c r="H217" s="80" t="s">
        <v>1158</v>
      </c>
      <c r="I217" s="79" t="s">
        <v>1244</v>
      </c>
      <c r="J217" s="116">
        <v>15</v>
      </c>
      <c r="K217" s="80">
        <v>373.39</v>
      </c>
      <c r="L217" s="79" t="s">
        <v>1245</v>
      </c>
      <c r="M217" s="79" t="s">
        <v>180</v>
      </c>
      <c r="N217" s="79"/>
      <c r="O217" s="80">
        <v>436.79</v>
      </c>
      <c r="P217" s="80"/>
      <c r="Q217" s="80">
        <f t="shared" si="12"/>
        <v>436.79</v>
      </c>
      <c r="R217" s="80">
        <f>366.66+20.63</f>
        <v>387.29</v>
      </c>
      <c r="S217" s="80">
        <v>15.72</v>
      </c>
      <c r="T217" s="83" t="s">
        <v>142</v>
      </c>
      <c r="U217" s="83" t="s">
        <v>143</v>
      </c>
    </row>
    <row r="218" spans="1:21" ht="105">
      <c r="A218" s="77">
        <v>24</v>
      </c>
      <c r="B218" s="79" t="s">
        <v>279</v>
      </c>
      <c r="C218" s="77" t="s">
        <v>15</v>
      </c>
      <c r="D218" s="37" t="s">
        <v>1248</v>
      </c>
      <c r="E218" s="51" t="s">
        <v>1171</v>
      </c>
      <c r="F218" s="79" t="s">
        <v>135</v>
      </c>
      <c r="G218" s="79" t="s">
        <v>1158</v>
      </c>
      <c r="H218" s="79" t="s">
        <v>15</v>
      </c>
      <c r="I218" s="79" t="s">
        <v>1249</v>
      </c>
      <c r="J218" s="116">
        <v>3</v>
      </c>
      <c r="K218" s="80">
        <v>35.41</v>
      </c>
      <c r="L218" s="79" t="s">
        <v>1245</v>
      </c>
      <c r="M218" s="79" t="s">
        <v>1250</v>
      </c>
      <c r="N218" s="79" t="s">
        <v>1247</v>
      </c>
      <c r="O218" s="80">
        <v>48.1</v>
      </c>
      <c r="P218" s="80"/>
      <c r="Q218" s="80">
        <f t="shared" si="12"/>
        <v>48.1</v>
      </c>
      <c r="R218" s="80">
        <v>31.01</v>
      </c>
      <c r="S218" s="80">
        <v>3</v>
      </c>
      <c r="T218" s="83" t="s">
        <v>142</v>
      </c>
      <c r="U218" s="83" t="s">
        <v>261</v>
      </c>
    </row>
    <row r="219" spans="1:21" ht="135">
      <c r="A219" s="77">
        <v>9</v>
      </c>
      <c r="B219" s="79" t="s">
        <v>279</v>
      </c>
      <c r="C219" s="77" t="s">
        <v>15</v>
      </c>
      <c r="D219" s="37" t="s">
        <v>1255</v>
      </c>
      <c r="E219" s="51" t="s">
        <v>1218</v>
      </c>
      <c r="F219" s="79" t="s">
        <v>135</v>
      </c>
      <c r="G219" s="79" t="s">
        <v>15</v>
      </c>
      <c r="H219" s="79" t="s">
        <v>15</v>
      </c>
      <c r="I219" s="79" t="s">
        <v>1256</v>
      </c>
      <c r="J219" s="116">
        <v>7.7</v>
      </c>
      <c r="K219" s="80">
        <v>243.15</v>
      </c>
      <c r="L219" s="79" t="s">
        <v>1245</v>
      </c>
      <c r="M219" s="79" t="s">
        <v>1247</v>
      </c>
      <c r="N219" s="79" t="s">
        <v>1257</v>
      </c>
      <c r="O219" s="80">
        <v>275.7</v>
      </c>
      <c r="P219" s="80"/>
      <c r="Q219" s="80">
        <f>SUM(O219:P219)</f>
        <v>275.7</v>
      </c>
      <c r="R219" s="80">
        <v>238.44</v>
      </c>
      <c r="S219" s="80">
        <v>7.7</v>
      </c>
      <c r="T219" s="83" t="s">
        <v>142</v>
      </c>
      <c r="U219" s="83" t="s">
        <v>1258</v>
      </c>
    </row>
    <row r="220" spans="1:21" ht="89.25">
      <c r="A220" s="77">
        <v>10</v>
      </c>
      <c r="B220" s="79" t="s">
        <v>395</v>
      </c>
      <c r="C220" s="77" t="s">
        <v>15</v>
      </c>
      <c r="D220" s="130" t="s">
        <v>1277</v>
      </c>
      <c r="E220" s="60" t="s">
        <v>1162</v>
      </c>
      <c r="F220" s="60" t="s">
        <v>159</v>
      </c>
      <c r="G220" s="60" t="s">
        <v>15</v>
      </c>
      <c r="H220" s="40" t="s">
        <v>15</v>
      </c>
      <c r="I220" s="40" t="s">
        <v>1278</v>
      </c>
      <c r="J220" s="135">
        <v>1.07</v>
      </c>
      <c r="K220" s="40">
        <v>29.99</v>
      </c>
      <c r="L220" s="40" t="s">
        <v>1279</v>
      </c>
      <c r="M220" s="40" t="s">
        <v>694</v>
      </c>
      <c r="N220" s="40" t="s">
        <v>273</v>
      </c>
      <c r="O220" s="77"/>
      <c r="P220" s="77"/>
      <c r="Q220" s="40">
        <v>33.24</v>
      </c>
      <c r="R220" s="40">
        <v>25.14</v>
      </c>
      <c r="S220" s="40">
        <v>1.07</v>
      </c>
      <c r="T220" s="62" t="s">
        <v>397</v>
      </c>
      <c r="U220" s="77"/>
    </row>
    <row r="221" spans="1:21" ht="89.25">
      <c r="A221" s="77">
        <v>11</v>
      </c>
      <c r="B221" s="79" t="s">
        <v>395</v>
      </c>
      <c r="C221" s="77" t="s">
        <v>15</v>
      </c>
      <c r="D221" s="136" t="s">
        <v>1288</v>
      </c>
      <c r="E221" s="60" t="s">
        <v>1260</v>
      </c>
      <c r="F221" s="60" t="s">
        <v>159</v>
      </c>
      <c r="G221" s="60" t="s">
        <v>15</v>
      </c>
      <c r="H221" s="40" t="s">
        <v>15</v>
      </c>
      <c r="I221" s="40" t="s">
        <v>1289</v>
      </c>
      <c r="J221" s="40">
        <v>6.5</v>
      </c>
      <c r="K221" s="40">
        <v>266.8</v>
      </c>
      <c r="L221" s="40" t="s">
        <v>1290</v>
      </c>
      <c r="M221" s="40" t="s">
        <v>1291</v>
      </c>
      <c r="N221" s="40" t="s">
        <v>1242</v>
      </c>
      <c r="O221" s="77"/>
      <c r="P221" s="77"/>
      <c r="Q221" s="40">
        <v>210.72</v>
      </c>
      <c r="R221" s="40">
        <v>197.79</v>
      </c>
      <c r="S221" s="40">
        <v>6.5</v>
      </c>
      <c r="T221" s="62" t="s">
        <v>397</v>
      </c>
      <c r="U221" s="77"/>
    </row>
    <row r="222" spans="1:21" ht="76.5">
      <c r="A222" s="77">
        <v>12</v>
      </c>
      <c r="B222" s="79" t="s">
        <v>415</v>
      </c>
      <c r="C222" s="77" t="s">
        <v>15</v>
      </c>
      <c r="D222" s="64" t="s">
        <v>1304</v>
      </c>
      <c r="E222" s="60" t="s">
        <v>1171</v>
      </c>
      <c r="F222" s="60" t="s">
        <v>159</v>
      </c>
      <c r="G222" s="60" t="s">
        <v>15</v>
      </c>
      <c r="H222" s="41" t="s">
        <v>15</v>
      </c>
      <c r="I222" s="41" t="s">
        <v>459</v>
      </c>
      <c r="J222" s="40">
        <v>4.03</v>
      </c>
      <c r="K222" s="40">
        <v>171.93</v>
      </c>
      <c r="L222" s="63" t="s">
        <v>1305</v>
      </c>
      <c r="M222" s="63" t="s">
        <v>665</v>
      </c>
      <c r="N222" s="63" t="s">
        <v>666</v>
      </c>
      <c r="O222" s="77"/>
      <c r="P222" s="77"/>
      <c r="Q222" s="78">
        <v>170.86</v>
      </c>
      <c r="R222" s="78">
        <v>127.41</v>
      </c>
      <c r="S222" s="78">
        <v>4.03</v>
      </c>
      <c r="T222" s="65" t="s">
        <v>397</v>
      </c>
      <c r="U222" s="63" t="s">
        <v>141</v>
      </c>
    </row>
    <row r="223" spans="1:21" ht="99.75">
      <c r="A223" s="77">
        <v>1</v>
      </c>
      <c r="B223" s="79" t="s">
        <v>135</v>
      </c>
      <c r="C223" s="77" t="s">
        <v>16</v>
      </c>
      <c r="D223" s="36" t="s">
        <v>1312</v>
      </c>
      <c r="E223" s="181" t="s">
        <v>1313</v>
      </c>
      <c r="F223" s="79" t="s">
        <v>138</v>
      </c>
      <c r="G223" s="44" t="s">
        <v>1314</v>
      </c>
      <c r="H223" s="80" t="s">
        <v>1315</v>
      </c>
      <c r="I223" s="199" t="s">
        <v>141</v>
      </c>
      <c r="J223" s="86">
        <v>10</v>
      </c>
      <c r="K223" s="194">
        <v>113</v>
      </c>
      <c r="L223" s="58"/>
      <c r="M223" s="58"/>
      <c r="N223" s="111"/>
      <c r="O223" s="194">
        <v>110.91</v>
      </c>
      <c r="P223" s="77"/>
      <c r="Q223" s="77"/>
      <c r="R223" s="86">
        <v>58.14</v>
      </c>
      <c r="S223" s="86">
        <v>10</v>
      </c>
      <c r="T223" s="85" t="s">
        <v>142</v>
      </c>
      <c r="U223" s="85" t="s">
        <v>143</v>
      </c>
    </row>
    <row r="224" spans="1:21" ht="99.75">
      <c r="A224" s="77">
        <v>2</v>
      </c>
      <c r="B224" s="79" t="s">
        <v>135</v>
      </c>
      <c r="C224" s="77" t="s">
        <v>16</v>
      </c>
      <c r="D224" s="36" t="s">
        <v>1316</v>
      </c>
      <c r="E224" s="181"/>
      <c r="F224" s="79" t="s">
        <v>138</v>
      </c>
      <c r="G224" s="44" t="s">
        <v>1314</v>
      </c>
      <c r="H224" s="80" t="s">
        <v>1315</v>
      </c>
      <c r="I224" s="199"/>
      <c r="J224" s="86">
        <v>4</v>
      </c>
      <c r="K224" s="194"/>
      <c r="L224" s="58"/>
      <c r="M224" s="58"/>
      <c r="N224" s="111"/>
      <c r="O224" s="194"/>
      <c r="P224" s="77"/>
      <c r="Q224" s="77"/>
      <c r="R224" s="86">
        <v>16.1</v>
      </c>
      <c r="S224" s="86">
        <v>4</v>
      </c>
      <c r="T224" s="85" t="s">
        <v>142</v>
      </c>
      <c r="U224" s="85" t="s">
        <v>143</v>
      </c>
    </row>
    <row r="225" spans="1:21" ht="85.5">
      <c r="A225" s="77">
        <v>3</v>
      </c>
      <c r="B225" s="79" t="s">
        <v>135</v>
      </c>
      <c r="C225" s="77" t="s">
        <v>16</v>
      </c>
      <c r="D225" s="36" t="s">
        <v>1317</v>
      </c>
      <c r="E225" s="181"/>
      <c r="F225" s="79" t="s">
        <v>138</v>
      </c>
      <c r="G225" s="44" t="s">
        <v>1314</v>
      </c>
      <c r="H225" s="80" t="s">
        <v>1315</v>
      </c>
      <c r="I225" s="199"/>
      <c r="J225" s="86">
        <v>7</v>
      </c>
      <c r="K225" s="194"/>
      <c r="L225" s="58"/>
      <c r="M225" s="58"/>
      <c r="N225" s="111"/>
      <c r="O225" s="194"/>
      <c r="P225" s="77"/>
      <c r="Q225" s="77"/>
      <c r="R225" s="86">
        <v>30.83</v>
      </c>
      <c r="S225" s="86">
        <v>7</v>
      </c>
      <c r="T225" s="85" t="s">
        <v>142</v>
      </c>
      <c r="U225" s="85" t="s">
        <v>143</v>
      </c>
    </row>
    <row r="226" spans="1:21" ht="57">
      <c r="A226" s="77">
        <v>1</v>
      </c>
      <c r="B226" s="79" t="s">
        <v>135</v>
      </c>
      <c r="C226" s="77" t="s">
        <v>16</v>
      </c>
      <c r="D226" s="36" t="s">
        <v>1318</v>
      </c>
      <c r="E226" s="181" t="s">
        <v>1319</v>
      </c>
      <c r="F226" s="79" t="s">
        <v>138</v>
      </c>
      <c r="G226" s="44" t="s">
        <v>1320</v>
      </c>
      <c r="H226" s="80" t="s">
        <v>1315</v>
      </c>
      <c r="I226" s="90" t="s">
        <v>141</v>
      </c>
      <c r="J226" s="86">
        <v>2.7</v>
      </c>
      <c r="K226" s="194">
        <v>172.88</v>
      </c>
      <c r="L226" s="58"/>
      <c r="M226" s="58"/>
      <c r="N226" s="111"/>
      <c r="O226" s="194">
        <f>198.5+36.42</f>
        <v>234.92000000000002</v>
      </c>
      <c r="P226" s="77"/>
      <c r="Q226" s="77"/>
      <c r="R226" s="86">
        <v>44.6</v>
      </c>
      <c r="S226" s="86">
        <v>2.7</v>
      </c>
      <c r="T226" s="85" t="s">
        <v>142</v>
      </c>
      <c r="U226" s="85" t="s">
        <v>143</v>
      </c>
    </row>
    <row r="227" spans="1:21" ht="71.25">
      <c r="A227" s="77">
        <v>1</v>
      </c>
      <c r="B227" s="79" t="s">
        <v>135</v>
      </c>
      <c r="C227" s="77" t="s">
        <v>16</v>
      </c>
      <c r="D227" s="36" t="s">
        <v>1321</v>
      </c>
      <c r="E227" s="181"/>
      <c r="F227" s="79" t="s">
        <v>138</v>
      </c>
      <c r="G227" s="44" t="s">
        <v>1322</v>
      </c>
      <c r="H227" s="80" t="s">
        <v>1315</v>
      </c>
      <c r="I227" s="90" t="s">
        <v>141</v>
      </c>
      <c r="J227" s="86">
        <v>1</v>
      </c>
      <c r="K227" s="194"/>
      <c r="L227" s="58"/>
      <c r="M227" s="58"/>
      <c r="N227" s="111"/>
      <c r="O227" s="194"/>
      <c r="P227" s="77"/>
      <c r="Q227" s="77"/>
      <c r="R227" s="86">
        <v>16.86</v>
      </c>
      <c r="S227" s="86">
        <v>1</v>
      </c>
      <c r="T227" s="85" t="s">
        <v>142</v>
      </c>
      <c r="U227" s="85" t="s">
        <v>143</v>
      </c>
    </row>
    <row r="228" spans="1:21" ht="85.5">
      <c r="A228" s="77">
        <v>1</v>
      </c>
      <c r="B228" s="79" t="s">
        <v>135</v>
      </c>
      <c r="C228" s="77" t="s">
        <v>16</v>
      </c>
      <c r="D228" s="36" t="s">
        <v>1323</v>
      </c>
      <c r="E228" s="181"/>
      <c r="F228" s="79" t="s">
        <v>138</v>
      </c>
      <c r="G228" s="44" t="s">
        <v>1324</v>
      </c>
      <c r="H228" s="80" t="s">
        <v>1315</v>
      </c>
      <c r="I228" s="90" t="s">
        <v>141</v>
      </c>
      <c r="J228" s="86">
        <v>2</v>
      </c>
      <c r="K228" s="194"/>
      <c r="L228" s="58"/>
      <c r="M228" s="58"/>
      <c r="N228" s="111"/>
      <c r="O228" s="194"/>
      <c r="P228" s="77"/>
      <c r="Q228" s="77"/>
      <c r="R228" s="86">
        <v>25.47</v>
      </c>
      <c r="S228" s="86">
        <v>2</v>
      </c>
      <c r="T228" s="85" t="s">
        <v>142</v>
      </c>
      <c r="U228" s="85" t="s">
        <v>143</v>
      </c>
    </row>
    <row r="229" spans="1:21" ht="71.25">
      <c r="A229" s="77">
        <v>2</v>
      </c>
      <c r="B229" s="79" t="s">
        <v>135</v>
      </c>
      <c r="C229" s="77" t="s">
        <v>16</v>
      </c>
      <c r="D229" s="36" t="s">
        <v>1325</v>
      </c>
      <c r="E229" s="181"/>
      <c r="F229" s="79" t="s">
        <v>138</v>
      </c>
      <c r="G229" s="44" t="s">
        <v>1322</v>
      </c>
      <c r="H229" s="80" t="s">
        <v>1315</v>
      </c>
      <c r="I229" s="90" t="s">
        <v>141</v>
      </c>
      <c r="J229" s="86">
        <v>5.25</v>
      </c>
      <c r="K229" s="194"/>
      <c r="L229" s="58"/>
      <c r="M229" s="58"/>
      <c r="N229" s="111"/>
      <c r="O229" s="194"/>
      <c r="P229" s="77"/>
      <c r="Q229" s="77"/>
      <c r="R229" s="86">
        <v>81.9</v>
      </c>
      <c r="S229" s="86">
        <v>5.25</v>
      </c>
      <c r="T229" s="85" t="s">
        <v>142</v>
      </c>
      <c r="U229" s="85" t="s">
        <v>143</v>
      </c>
    </row>
    <row r="230" spans="1:21" ht="71.25">
      <c r="A230" s="77">
        <v>2</v>
      </c>
      <c r="B230" s="79" t="s">
        <v>135</v>
      </c>
      <c r="C230" s="77" t="s">
        <v>16</v>
      </c>
      <c r="D230" s="36" t="s">
        <v>1326</v>
      </c>
      <c r="E230" s="77" t="s">
        <v>1327</v>
      </c>
      <c r="F230" s="79" t="s">
        <v>138</v>
      </c>
      <c r="G230" s="44" t="s">
        <v>1324</v>
      </c>
      <c r="H230" s="80" t="s">
        <v>1315</v>
      </c>
      <c r="I230" s="90" t="s">
        <v>141</v>
      </c>
      <c r="J230" s="86">
        <v>8</v>
      </c>
      <c r="K230" s="86">
        <v>143.64</v>
      </c>
      <c r="L230" s="58"/>
      <c r="M230" s="58"/>
      <c r="N230" s="111"/>
      <c r="O230" s="86">
        <v>141.46</v>
      </c>
      <c r="P230" s="77"/>
      <c r="Q230" s="77"/>
      <c r="R230" s="86">
        <f>140.6+13</f>
        <v>153.6</v>
      </c>
      <c r="S230" s="86">
        <v>8</v>
      </c>
      <c r="T230" s="85" t="s">
        <v>142</v>
      </c>
      <c r="U230" s="85" t="s">
        <v>143</v>
      </c>
    </row>
    <row r="231" spans="1:21" ht="85.5">
      <c r="A231" s="77">
        <v>3</v>
      </c>
      <c r="B231" s="79" t="s">
        <v>157</v>
      </c>
      <c r="C231" s="77" t="s">
        <v>16</v>
      </c>
      <c r="D231" s="46" t="s">
        <v>1328</v>
      </c>
      <c r="E231" s="84" t="s">
        <v>1313</v>
      </c>
      <c r="F231" s="79" t="s">
        <v>159</v>
      </c>
      <c r="G231" s="47" t="s">
        <v>1324</v>
      </c>
      <c r="H231" s="80" t="s">
        <v>1315</v>
      </c>
      <c r="I231" s="47"/>
      <c r="J231" s="78">
        <v>6</v>
      </c>
      <c r="K231" s="78">
        <v>182.28</v>
      </c>
      <c r="L231" s="48"/>
      <c r="M231" s="48"/>
      <c r="N231" s="87" t="s">
        <v>1329</v>
      </c>
      <c r="O231" s="78"/>
      <c r="P231" s="78"/>
      <c r="Q231" s="78"/>
      <c r="R231" s="78">
        <v>186.51</v>
      </c>
      <c r="S231" s="78">
        <v>6</v>
      </c>
      <c r="T231" s="49" t="s">
        <v>142</v>
      </c>
      <c r="U231" s="85" t="s">
        <v>143</v>
      </c>
    </row>
    <row r="232" spans="1:21" ht="85.5">
      <c r="A232" s="77">
        <v>1</v>
      </c>
      <c r="B232" s="79" t="s">
        <v>157</v>
      </c>
      <c r="C232" s="77" t="s">
        <v>16</v>
      </c>
      <c r="D232" s="46" t="s">
        <v>1330</v>
      </c>
      <c r="E232" s="84" t="s">
        <v>1319</v>
      </c>
      <c r="F232" s="79" t="s">
        <v>159</v>
      </c>
      <c r="G232" s="47" t="s">
        <v>1331</v>
      </c>
      <c r="H232" s="80" t="s">
        <v>1315</v>
      </c>
      <c r="I232" s="47"/>
      <c r="J232" s="78">
        <v>4</v>
      </c>
      <c r="K232" s="78">
        <v>130.33</v>
      </c>
      <c r="L232" s="48"/>
      <c r="M232" s="48"/>
      <c r="N232" s="87" t="s">
        <v>1332</v>
      </c>
      <c r="O232" s="78"/>
      <c r="P232" s="78"/>
      <c r="Q232" s="78"/>
      <c r="R232" s="78">
        <v>127.2</v>
      </c>
      <c r="S232" s="78">
        <v>4</v>
      </c>
      <c r="T232" s="49" t="s">
        <v>142</v>
      </c>
      <c r="U232" s="85" t="s">
        <v>143</v>
      </c>
    </row>
    <row r="233" spans="1:21" ht="57">
      <c r="A233" s="77">
        <v>1</v>
      </c>
      <c r="B233" s="79" t="s">
        <v>157</v>
      </c>
      <c r="C233" s="77" t="s">
        <v>16</v>
      </c>
      <c r="D233" s="46" t="s">
        <v>1333</v>
      </c>
      <c r="E233" s="84" t="s">
        <v>1327</v>
      </c>
      <c r="F233" s="79" t="s">
        <v>159</v>
      </c>
      <c r="G233" s="47" t="s">
        <v>1334</v>
      </c>
      <c r="H233" s="80" t="s">
        <v>1315</v>
      </c>
      <c r="I233" s="47"/>
      <c r="J233" s="78">
        <v>6</v>
      </c>
      <c r="K233" s="78">
        <v>135.6</v>
      </c>
      <c r="L233" s="48"/>
      <c r="M233" s="48"/>
      <c r="N233" s="87" t="s">
        <v>1335</v>
      </c>
      <c r="O233" s="78"/>
      <c r="P233" s="78"/>
      <c r="Q233" s="78"/>
      <c r="R233" s="78">
        <f>136.43+4.6</f>
        <v>141.03</v>
      </c>
      <c r="S233" s="78">
        <v>6</v>
      </c>
      <c r="T233" s="49" t="s">
        <v>142</v>
      </c>
      <c r="U233" s="85" t="s">
        <v>143</v>
      </c>
    </row>
    <row r="234" spans="1:21" ht="57">
      <c r="A234" s="77">
        <v>2</v>
      </c>
      <c r="B234" s="79" t="s">
        <v>157</v>
      </c>
      <c r="C234" s="77" t="s">
        <v>16</v>
      </c>
      <c r="D234" s="46" t="s">
        <v>1336</v>
      </c>
      <c r="E234" s="84" t="s">
        <v>1337</v>
      </c>
      <c r="F234" s="79" t="s">
        <v>159</v>
      </c>
      <c r="G234" s="47" t="s">
        <v>1334</v>
      </c>
      <c r="H234" s="80" t="s">
        <v>1315</v>
      </c>
      <c r="I234" s="47"/>
      <c r="J234" s="78">
        <v>8.5</v>
      </c>
      <c r="K234" s="78">
        <v>195.77</v>
      </c>
      <c r="L234" s="48"/>
      <c r="M234" s="48"/>
      <c r="N234" s="87" t="s">
        <v>1338</v>
      </c>
      <c r="O234" s="78"/>
      <c r="P234" s="78"/>
      <c r="Q234" s="78"/>
      <c r="R234" s="78">
        <v>187.49</v>
      </c>
      <c r="S234" s="78">
        <v>8.5</v>
      </c>
      <c r="T234" s="49" t="s">
        <v>142</v>
      </c>
      <c r="U234" s="85" t="s">
        <v>143</v>
      </c>
    </row>
    <row r="235" spans="1:21" ht="85.5">
      <c r="A235" s="77">
        <v>4</v>
      </c>
      <c r="B235" s="79" t="s">
        <v>157</v>
      </c>
      <c r="C235" s="77" t="s">
        <v>16</v>
      </c>
      <c r="D235" s="46" t="s">
        <v>1339</v>
      </c>
      <c r="E235" s="84" t="s">
        <v>1340</v>
      </c>
      <c r="F235" s="79" t="s">
        <v>159</v>
      </c>
      <c r="G235" s="47" t="s">
        <v>1314</v>
      </c>
      <c r="H235" s="80" t="s">
        <v>1315</v>
      </c>
      <c r="I235" s="47"/>
      <c r="J235" s="78">
        <v>4</v>
      </c>
      <c r="K235" s="78">
        <v>124.8</v>
      </c>
      <c r="L235" s="48"/>
      <c r="M235" s="48"/>
      <c r="N235" s="87" t="s">
        <v>1341</v>
      </c>
      <c r="O235" s="78"/>
      <c r="P235" s="78"/>
      <c r="Q235" s="78"/>
      <c r="R235" s="78">
        <v>116.16</v>
      </c>
      <c r="S235" s="78">
        <v>4</v>
      </c>
      <c r="T235" s="49" t="s">
        <v>142</v>
      </c>
      <c r="U235" s="85" t="s">
        <v>143</v>
      </c>
    </row>
    <row r="236" spans="1:21" ht="99.75">
      <c r="A236" s="77">
        <v>4</v>
      </c>
      <c r="B236" s="79" t="s">
        <v>157</v>
      </c>
      <c r="C236" s="77" t="s">
        <v>16</v>
      </c>
      <c r="D236" s="46" t="s">
        <v>1342</v>
      </c>
      <c r="E236" s="84" t="s">
        <v>1343</v>
      </c>
      <c r="F236" s="79" t="s">
        <v>159</v>
      </c>
      <c r="G236" s="47" t="s">
        <v>1324</v>
      </c>
      <c r="H236" s="80" t="s">
        <v>1315</v>
      </c>
      <c r="I236" s="47"/>
      <c r="J236" s="78">
        <v>6</v>
      </c>
      <c r="K236" s="78">
        <v>182.28</v>
      </c>
      <c r="L236" s="48"/>
      <c r="M236" s="48"/>
      <c r="N236" s="87" t="s">
        <v>1344</v>
      </c>
      <c r="O236" s="78"/>
      <c r="P236" s="78"/>
      <c r="Q236" s="78"/>
      <c r="R236" s="78">
        <v>178.97</v>
      </c>
      <c r="S236" s="78">
        <v>6</v>
      </c>
      <c r="T236" s="49" t="s">
        <v>142</v>
      </c>
      <c r="U236" s="85" t="s">
        <v>143</v>
      </c>
    </row>
    <row r="237" spans="1:21" ht="156.75">
      <c r="A237" s="77">
        <v>5</v>
      </c>
      <c r="B237" s="79" t="s">
        <v>157</v>
      </c>
      <c r="C237" s="77" t="s">
        <v>16</v>
      </c>
      <c r="D237" s="46" t="s">
        <v>1345</v>
      </c>
      <c r="E237" s="84" t="s">
        <v>1346</v>
      </c>
      <c r="F237" s="79" t="s">
        <v>175</v>
      </c>
      <c r="G237" s="47" t="s">
        <v>1324</v>
      </c>
      <c r="H237" s="80" t="s">
        <v>1315</v>
      </c>
      <c r="I237" s="47"/>
      <c r="J237" s="78" t="s">
        <v>141</v>
      </c>
      <c r="K237" s="78">
        <v>100</v>
      </c>
      <c r="L237" s="48"/>
      <c r="M237" s="48"/>
      <c r="N237" s="87" t="s">
        <v>1347</v>
      </c>
      <c r="O237" s="78"/>
      <c r="P237" s="78"/>
      <c r="Q237" s="78"/>
      <c r="R237" s="78">
        <v>103.64</v>
      </c>
      <c r="S237" s="78" t="s">
        <v>141</v>
      </c>
      <c r="T237" s="49" t="s">
        <v>142</v>
      </c>
      <c r="U237" s="85" t="s">
        <v>143</v>
      </c>
    </row>
    <row r="238" spans="1:21" ht="71.25">
      <c r="A238" s="77">
        <v>3</v>
      </c>
      <c r="B238" s="79" t="s">
        <v>185</v>
      </c>
      <c r="C238" s="77" t="s">
        <v>16</v>
      </c>
      <c r="D238" s="36" t="s">
        <v>1348</v>
      </c>
      <c r="E238" s="84" t="s">
        <v>1313</v>
      </c>
      <c r="F238" s="79" t="s">
        <v>135</v>
      </c>
      <c r="G238" s="79" t="s">
        <v>1334</v>
      </c>
      <c r="H238" s="79" t="s">
        <v>1315</v>
      </c>
      <c r="I238" s="79" t="s">
        <v>1349</v>
      </c>
      <c r="J238" s="51">
        <v>15.22</v>
      </c>
      <c r="K238" s="51">
        <v>154.24</v>
      </c>
      <c r="L238" s="90" t="s">
        <v>1350</v>
      </c>
      <c r="M238" s="79" t="s">
        <v>1351</v>
      </c>
      <c r="N238" s="90" t="s">
        <v>201</v>
      </c>
      <c r="O238" s="86">
        <v>339.93</v>
      </c>
      <c r="P238" s="86">
        <v>18.26</v>
      </c>
      <c r="Q238" s="86">
        <f>SUM(O238:P238)</f>
        <v>358.19</v>
      </c>
      <c r="R238" s="86">
        <v>352.74</v>
      </c>
      <c r="S238" s="51">
        <v>15.59</v>
      </c>
      <c r="T238" s="83" t="s">
        <v>142</v>
      </c>
      <c r="U238" s="85" t="s">
        <v>143</v>
      </c>
    </row>
    <row r="239" spans="1:21" ht="57">
      <c r="A239" s="77">
        <v>2</v>
      </c>
      <c r="B239" s="79" t="s">
        <v>185</v>
      </c>
      <c r="C239" s="77" t="s">
        <v>16</v>
      </c>
      <c r="D239" s="36" t="s">
        <v>1352</v>
      </c>
      <c r="E239" s="84" t="s">
        <v>1319</v>
      </c>
      <c r="F239" s="79" t="s">
        <v>135</v>
      </c>
      <c r="G239" s="79" t="s">
        <v>1320</v>
      </c>
      <c r="H239" s="79" t="s">
        <v>16</v>
      </c>
      <c r="I239" s="79" t="s">
        <v>1353</v>
      </c>
      <c r="J239" s="51">
        <v>17.71</v>
      </c>
      <c r="K239" s="51">
        <v>186.61</v>
      </c>
      <c r="L239" s="90" t="s">
        <v>1354</v>
      </c>
      <c r="M239" s="80" t="s">
        <v>1355</v>
      </c>
      <c r="N239" s="90" t="s">
        <v>1356</v>
      </c>
      <c r="O239" s="86">
        <v>203.01</v>
      </c>
      <c r="P239" s="86">
        <v>93.28</v>
      </c>
      <c r="Q239" s="86">
        <f>SUM(O239:P239)</f>
        <v>296.28999999999996</v>
      </c>
      <c r="R239" s="86">
        <v>295.24</v>
      </c>
      <c r="S239" s="51">
        <v>17.71</v>
      </c>
      <c r="T239" s="83" t="s">
        <v>142</v>
      </c>
      <c r="U239" s="85" t="s">
        <v>143</v>
      </c>
    </row>
    <row r="240" spans="1:21" ht="165">
      <c r="A240" s="77">
        <v>5</v>
      </c>
      <c r="B240" s="79" t="s">
        <v>202</v>
      </c>
      <c r="C240" s="77" t="s">
        <v>16</v>
      </c>
      <c r="D240" s="37" t="s">
        <v>1357</v>
      </c>
      <c r="E240" s="84" t="s">
        <v>1313</v>
      </c>
      <c r="F240" s="79" t="s">
        <v>135</v>
      </c>
      <c r="G240" s="79" t="s">
        <v>1314</v>
      </c>
      <c r="H240" s="79" t="s">
        <v>16</v>
      </c>
      <c r="I240" s="79" t="s">
        <v>1353</v>
      </c>
      <c r="J240" s="80">
        <v>6.46</v>
      </c>
      <c r="K240" s="80">
        <v>94.64</v>
      </c>
      <c r="L240" s="80" t="s">
        <v>1358</v>
      </c>
      <c r="M240" s="80" t="s">
        <v>1359</v>
      </c>
      <c r="N240" s="80" t="s">
        <v>543</v>
      </c>
      <c r="O240" s="80">
        <v>92.28</v>
      </c>
      <c r="P240" s="80"/>
      <c r="Q240" s="80">
        <f>SUM(O240:P240)</f>
        <v>92.28</v>
      </c>
      <c r="R240" s="80">
        <v>96.24</v>
      </c>
      <c r="S240" s="80">
        <v>6.46</v>
      </c>
      <c r="T240" s="85" t="s">
        <v>142</v>
      </c>
      <c r="U240" s="85" t="s">
        <v>143</v>
      </c>
    </row>
    <row r="241" spans="1:21" ht="57">
      <c r="A241" s="77">
        <v>6</v>
      </c>
      <c r="B241" s="79" t="s">
        <v>221</v>
      </c>
      <c r="C241" s="77" t="s">
        <v>16</v>
      </c>
      <c r="D241" s="36" t="s">
        <v>1360</v>
      </c>
      <c r="E241" s="51" t="s">
        <v>1313</v>
      </c>
      <c r="F241" s="79" t="s">
        <v>135</v>
      </c>
      <c r="G241" s="52" t="s">
        <v>1314</v>
      </c>
      <c r="H241" s="52" t="s">
        <v>1315</v>
      </c>
      <c r="I241" s="79" t="s">
        <v>1361</v>
      </c>
      <c r="J241" s="80">
        <v>15.42</v>
      </c>
      <c r="K241" s="80">
        <v>234.63</v>
      </c>
      <c r="L241" s="80" t="s">
        <v>1362</v>
      </c>
      <c r="M241" s="80" t="s">
        <v>181</v>
      </c>
      <c r="N241" s="80" t="s">
        <v>308</v>
      </c>
      <c r="O241" s="80">
        <v>230.54</v>
      </c>
      <c r="P241" s="80"/>
      <c r="Q241" s="80">
        <f aca="true" t="shared" si="13" ref="Q241:Q255">SUM(O241:P241)</f>
        <v>230.54</v>
      </c>
      <c r="R241" s="80">
        <v>253.78</v>
      </c>
      <c r="S241" s="80">
        <v>15.42</v>
      </c>
      <c r="T241" s="83" t="s">
        <v>142</v>
      </c>
      <c r="U241" s="85" t="s">
        <v>143</v>
      </c>
    </row>
    <row r="242" spans="1:21" ht="57">
      <c r="A242" s="77">
        <v>7</v>
      </c>
      <c r="B242" s="79" t="s">
        <v>221</v>
      </c>
      <c r="C242" s="77" t="s">
        <v>16</v>
      </c>
      <c r="D242" s="36" t="s">
        <v>1367</v>
      </c>
      <c r="E242" s="51" t="s">
        <v>1327</v>
      </c>
      <c r="F242" s="79" t="s">
        <v>135</v>
      </c>
      <c r="G242" s="52" t="s">
        <v>1314</v>
      </c>
      <c r="H242" s="52" t="s">
        <v>1315</v>
      </c>
      <c r="I242" s="183" t="s">
        <v>1368</v>
      </c>
      <c r="J242" s="80">
        <v>3.03</v>
      </c>
      <c r="K242" s="80">
        <v>55.32</v>
      </c>
      <c r="L242" s="80" t="s">
        <v>1369</v>
      </c>
      <c r="M242" s="80" t="s">
        <v>1370</v>
      </c>
      <c r="N242" s="80" t="s">
        <v>230</v>
      </c>
      <c r="O242" s="80">
        <v>50.03</v>
      </c>
      <c r="P242" s="80"/>
      <c r="Q242" s="80">
        <f t="shared" si="13"/>
        <v>50.03</v>
      </c>
      <c r="R242" s="80">
        <v>71.77</v>
      </c>
      <c r="S242" s="80">
        <v>3.03</v>
      </c>
      <c r="T242" s="83" t="s">
        <v>142</v>
      </c>
      <c r="U242" s="85" t="s">
        <v>143</v>
      </c>
    </row>
    <row r="243" spans="1:21" ht="99.75">
      <c r="A243" s="77">
        <v>8</v>
      </c>
      <c r="B243" s="79" t="s">
        <v>221</v>
      </c>
      <c r="C243" s="77" t="s">
        <v>16</v>
      </c>
      <c r="D243" s="36" t="s">
        <v>1371</v>
      </c>
      <c r="E243" s="51" t="s">
        <v>1327</v>
      </c>
      <c r="F243" s="79" t="s">
        <v>135</v>
      </c>
      <c r="G243" s="52" t="s">
        <v>1314</v>
      </c>
      <c r="H243" s="52" t="s">
        <v>1315</v>
      </c>
      <c r="I243" s="183"/>
      <c r="J243" s="80">
        <v>4.91</v>
      </c>
      <c r="K243" s="80">
        <v>97.22</v>
      </c>
      <c r="L243" s="80" t="s">
        <v>1369</v>
      </c>
      <c r="M243" s="80" t="s">
        <v>1370</v>
      </c>
      <c r="N243" s="80" t="s">
        <v>230</v>
      </c>
      <c r="O243" s="80">
        <v>88.12</v>
      </c>
      <c r="P243" s="80"/>
      <c r="Q243" s="80">
        <f t="shared" si="13"/>
        <v>88.12</v>
      </c>
      <c r="R243" s="80">
        <v>87.94</v>
      </c>
      <c r="S243" s="80">
        <v>4.91</v>
      </c>
      <c r="T243" s="83" t="s">
        <v>142</v>
      </c>
      <c r="U243" s="85" t="s">
        <v>143</v>
      </c>
    </row>
    <row r="244" spans="1:21" ht="99.75">
      <c r="A244" s="77">
        <v>9</v>
      </c>
      <c r="B244" s="79" t="s">
        <v>221</v>
      </c>
      <c r="C244" s="77" t="s">
        <v>16</v>
      </c>
      <c r="D244" s="36" t="s">
        <v>1372</v>
      </c>
      <c r="E244" s="51" t="s">
        <v>1337</v>
      </c>
      <c r="F244" s="79" t="s">
        <v>135</v>
      </c>
      <c r="G244" s="52" t="s">
        <v>1314</v>
      </c>
      <c r="H244" s="52" t="s">
        <v>1315</v>
      </c>
      <c r="I244" s="79" t="s">
        <v>1373</v>
      </c>
      <c r="J244" s="80">
        <v>2.92</v>
      </c>
      <c r="K244" s="80">
        <v>56.2</v>
      </c>
      <c r="L244" s="80" t="s">
        <v>1374</v>
      </c>
      <c r="M244" s="80" t="s">
        <v>1375</v>
      </c>
      <c r="N244" s="80" t="s">
        <v>523</v>
      </c>
      <c r="O244" s="80">
        <v>53.15</v>
      </c>
      <c r="P244" s="80"/>
      <c r="Q244" s="80">
        <f t="shared" si="13"/>
        <v>53.15</v>
      </c>
      <c r="R244" s="80">
        <v>0.35</v>
      </c>
      <c r="S244" s="80">
        <v>2.92</v>
      </c>
      <c r="T244" s="83" t="s">
        <v>142</v>
      </c>
      <c r="U244" s="85" t="s">
        <v>143</v>
      </c>
    </row>
    <row r="245" spans="1:21" ht="128.25">
      <c r="A245" s="77">
        <v>10</v>
      </c>
      <c r="B245" s="79" t="s">
        <v>221</v>
      </c>
      <c r="C245" s="77" t="s">
        <v>16</v>
      </c>
      <c r="D245" s="36" t="s">
        <v>1376</v>
      </c>
      <c r="E245" s="51" t="s">
        <v>1340</v>
      </c>
      <c r="F245" s="79" t="s">
        <v>135</v>
      </c>
      <c r="G245" s="52" t="s">
        <v>1314</v>
      </c>
      <c r="H245" s="52" t="s">
        <v>1315</v>
      </c>
      <c r="I245" s="79" t="s">
        <v>281</v>
      </c>
      <c r="J245" s="80">
        <v>12</v>
      </c>
      <c r="K245" s="80">
        <v>230.93</v>
      </c>
      <c r="L245" s="80" t="s">
        <v>1377</v>
      </c>
      <c r="M245" s="80" t="s">
        <v>1378</v>
      </c>
      <c r="N245" s="80" t="s">
        <v>230</v>
      </c>
      <c r="O245" s="80">
        <v>208.05</v>
      </c>
      <c r="P245" s="80"/>
      <c r="Q245" s="80">
        <f t="shared" si="13"/>
        <v>208.05</v>
      </c>
      <c r="R245" s="80">
        <v>289.81</v>
      </c>
      <c r="S245" s="80">
        <v>12</v>
      </c>
      <c r="T245" s="83" t="s">
        <v>142</v>
      </c>
      <c r="U245" s="85" t="s">
        <v>143</v>
      </c>
    </row>
    <row r="246" spans="1:21" ht="171">
      <c r="A246" s="77">
        <v>11</v>
      </c>
      <c r="B246" s="79" t="s">
        <v>221</v>
      </c>
      <c r="C246" s="77" t="s">
        <v>16</v>
      </c>
      <c r="D246" s="36" t="s">
        <v>1379</v>
      </c>
      <c r="E246" s="51" t="s">
        <v>1343</v>
      </c>
      <c r="F246" s="79" t="s">
        <v>135</v>
      </c>
      <c r="G246" s="52" t="s">
        <v>1314</v>
      </c>
      <c r="H246" s="52" t="s">
        <v>1315</v>
      </c>
      <c r="I246" s="79" t="s">
        <v>1361</v>
      </c>
      <c r="J246" s="80">
        <v>4.08</v>
      </c>
      <c r="K246" s="80">
        <v>61.57</v>
      </c>
      <c r="L246" s="80" t="s">
        <v>189</v>
      </c>
      <c r="M246" s="80" t="s">
        <v>1380</v>
      </c>
      <c r="N246" s="80" t="s">
        <v>308</v>
      </c>
      <c r="O246" s="80">
        <v>57.1</v>
      </c>
      <c r="P246" s="80"/>
      <c r="Q246" s="80">
        <f t="shared" si="13"/>
        <v>57.1</v>
      </c>
      <c r="R246" s="80">
        <v>56.25</v>
      </c>
      <c r="S246" s="80">
        <v>4.08</v>
      </c>
      <c r="T246" s="83" t="s">
        <v>142</v>
      </c>
      <c r="U246" s="85" t="s">
        <v>143</v>
      </c>
    </row>
    <row r="247" spans="1:21" ht="142.5">
      <c r="A247" s="77">
        <v>12</v>
      </c>
      <c r="B247" s="79" t="s">
        <v>221</v>
      </c>
      <c r="C247" s="77" t="s">
        <v>16</v>
      </c>
      <c r="D247" s="138" t="s">
        <v>1381</v>
      </c>
      <c r="E247" s="51" t="s">
        <v>1346</v>
      </c>
      <c r="F247" s="79" t="s">
        <v>135</v>
      </c>
      <c r="G247" s="52" t="s">
        <v>1314</v>
      </c>
      <c r="H247" s="52" t="s">
        <v>1315</v>
      </c>
      <c r="I247" s="139" t="s">
        <v>866</v>
      </c>
      <c r="J247" s="80">
        <v>18.46</v>
      </c>
      <c r="K247" s="80">
        <v>305.44</v>
      </c>
      <c r="L247" s="80" t="s">
        <v>1382</v>
      </c>
      <c r="M247" s="80" t="s">
        <v>1383</v>
      </c>
      <c r="N247" s="80" t="s">
        <v>230</v>
      </c>
      <c r="O247" s="80">
        <v>275.96</v>
      </c>
      <c r="P247" s="80">
        <v>17.71</v>
      </c>
      <c r="Q247" s="80">
        <f t="shared" si="13"/>
        <v>293.66999999999996</v>
      </c>
      <c r="R247" s="80">
        <v>267.43</v>
      </c>
      <c r="S247" s="80">
        <v>18.46</v>
      </c>
      <c r="T247" s="83" t="s">
        <v>142</v>
      </c>
      <c r="U247" s="85" t="s">
        <v>261</v>
      </c>
    </row>
    <row r="248" spans="1:21" ht="128.25">
      <c r="A248" s="77">
        <v>13</v>
      </c>
      <c r="B248" s="79" t="s">
        <v>221</v>
      </c>
      <c r="C248" s="77" t="s">
        <v>16</v>
      </c>
      <c r="D248" s="36" t="s">
        <v>1384</v>
      </c>
      <c r="E248" s="51" t="s">
        <v>1385</v>
      </c>
      <c r="F248" s="79" t="s">
        <v>135</v>
      </c>
      <c r="G248" s="52" t="s">
        <v>1314</v>
      </c>
      <c r="H248" s="52" t="s">
        <v>1315</v>
      </c>
      <c r="I248" s="79" t="s">
        <v>1386</v>
      </c>
      <c r="J248" s="80">
        <v>7.69</v>
      </c>
      <c r="K248" s="80">
        <v>116.54</v>
      </c>
      <c r="L248" s="80" t="s">
        <v>861</v>
      </c>
      <c r="M248" s="80" t="s">
        <v>862</v>
      </c>
      <c r="N248" s="80" t="s">
        <v>200</v>
      </c>
      <c r="O248" s="80">
        <v>100.81</v>
      </c>
      <c r="P248" s="80"/>
      <c r="Q248" s="80">
        <f t="shared" si="13"/>
        <v>100.81</v>
      </c>
      <c r="R248" s="80">
        <v>115.68</v>
      </c>
      <c r="S248" s="80">
        <v>7.69</v>
      </c>
      <c r="T248" s="83" t="s">
        <v>142</v>
      </c>
      <c r="U248" s="85" t="s">
        <v>1188</v>
      </c>
    </row>
    <row r="249" spans="1:21" ht="57">
      <c r="A249" s="77">
        <v>3</v>
      </c>
      <c r="B249" s="79" t="s">
        <v>221</v>
      </c>
      <c r="C249" s="77" t="s">
        <v>16</v>
      </c>
      <c r="D249" s="36" t="s">
        <v>1387</v>
      </c>
      <c r="E249" s="51" t="s">
        <v>1388</v>
      </c>
      <c r="F249" s="79" t="s">
        <v>135</v>
      </c>
      <c r="G249" s="52" t="s">
        <v>1320</v>
      </c>
      <c r="H249" s="52" t="s">
        <v>16</v>
      </c>
      <c r="I249" s="79" t="s">
        <v>1353</v>
      </c>
      <c r="J249" s="80">
        <v>8</v>
      </c>
      <c r="K249" s="80">
        <v>219.68</v>
      </c>
      <c r="L249" s="80" t="s">
        <v>1389</v>
      </c>
      <c r="M249" s="80" t="s">
        <v>1390</v>
      </c>
      <c r="N249" s="80" t="s">
        <v>1391</v>
      </c>
      <c r="O249" s="80">
        <v>240.67</v>
      </c>
      <c r="P249" s="80"/>
      <c r="Q249" s="80">
        <f t="shared" si="13"/>
        <v>240.67</v>
      </c>
      <c r="R249" s="80">
        <v>360.33</v>
      </c>
      <c r="S249" s="80">
        <v>8</v>
      </c>
      <c r="T249" s="83" t="s">
        <v>142</v>
      </c>
      <c r="U249" s="85" t="s">
        <v>143</v>
      </c>
    </row>
    <row r="250" spans="1:21" ht="99.75">
      <c r="A250" s="77">
        <v>14</v>
      </c>
      <c r="B250" s="79" t="s">
        <v>221</v>
      </c>
      <c r="C250" s="77" t="s">
        <v>16</v>
      </c>
      <c r="D250" s="138" t="s">
        <v>1392</v>
      </c>
      <c r="E250" s="51" t="s">
        <v>1393</v>
      </c>
      <c r="F250" s="79" t="s">
        <v>135</v>
      </c>
      <c r="G250" s="52" t="s">
        <v>1314</v>
      </c>
      <c r="H250" s="52" t="s">
        <v>1315</v>
      </c>
      <c r="I250" s="139" t="s">
        <v>824</v>
      </c>
      <c r="J250" s="80">
        <v>9.51</v>
      </c>
      <c r="K250" s="80">
        <v>210.16</v>
      </c>
      <c r="L250" s="80" t="s">
        <v>1394</v>
      </c>
      <c r="M250" s="80" t="s">
        <v>1196</v>
      </c>
      <c r="N250" s="80" t="s">
        <v>230</v>
      </c>
      <c r="O250" s="80">
        <v>196.74</v>
      </c>
      <c r="P250" s="80"/>
      <c r="Q250" s="80">
        <f t="shared" si="13"/>
        <v>196.74</v>
      </c>
      <c r="R250" s="80">
        <v>216.61</v>
      </c>
      <c r="S250" s="80">
        <v>9.51</v>
      </c>
      <c r="T250" s="83" t="s">
        <v>142</v>
      </c>
      <c r="U250" s="85" t="s">
        <v>143</v>
      </c>
    </row>
    <row r="251" spans="1:21" ht="71.25">
      <c r="A251" s="77">
        <v>1</v>
      </c>
      <c r="B251" s="79" t="s">
        <v>221</v>
      </c>
      <c r="C251" s="77" t="s">
        <v>16</v>
      </c>
      <c r="D251" s="36" t="s">
        <v>1395</v>
      </c>
      <c r="E251" s="51" t="s">
        <v>1396</v>
      </c>
      <c r="F251" s="79" t="s">
        <v>135</v>
      </c>
      <c r="G251" s="52" t="s">
        <v>1397</v>
      </c>
      <c r="H251" s="52" t="s">
        <v>16</v>
      </c>
      <c r="I251" s="79" t="s">
        <v>1373</v>
      </c>
      <c r="J251" s="80">
        <v>3.05</v>
      </c>
      <c r="K251" s="80">
        <v>69.9</v>
      </c>
      <c r="L251" s="80" t="s">
        <v>606</v>
      </c>
      <c r="M251" s="80" t="s">
        <v>1207</v>
      </c>
      <c r="N251" s="80" t="s">
        <v>1232</v>
      </c>
      <c r="O251" s="80">
        <v>73.15</v>
      </c>
      <c r="P251" s="80"/>
      <c r="Q251" s="80">
        <f t="shared" si="13"/>
        <v>73.15</v>
      </c>
      <c r="R251" s="80">
        <v>73.19</v>
      </c>
      <c r="S251" s="80">
        <v>3.05</v>
      </c>
      <c r="T251" s="83" t="s">
        <v>142</v>
      </c>
      <c r="U251" s="85" t="s">
        <v>143</v>
      </c>
    </row>
    <row r="252" spans="1:21" ht="156.75">
      <c r="A252" s="77">
        <v>2</v>
      </c>
      <c r="B252" s="79" t="s">
        <v>221</v>
      </c>
      <c r="C252" s="77" t="s">
        <v>16</v>
      </c>
      <c r="D252" s="36" t="s">
        <v>1398</v>
      </c>
      <c r="E252" s="51" t="s">
        <v>1399</v>
      </c>
      <c r="F252" s="79" t="s">
        <v>135</v>
      </c>
      <c r="G252" s="52" t="s">
        <v>1397</v>
      </c>
      <c r="H252" s="52" t="s">
        <v>16</v>
      </c>
      <c r="I252" s="79" t="s">
        <v>1373</v>
      </c>
      <c r="J252" s="80">
        <v>2.55</v>
      </c>
      <c r="K252" s="80">
        <v>62.67</v>
      </c>
      <c r="L252" s="80" t="s">
        <v>195</v>
      </c>
      <c r="M252" s="80" t="s">
        <v>220</v>
      </c>
      <c r="N252" s="80" t="s">
        <v>201</v>
      </c>
      <c r="O252" s="80">
        <v>61.56</v>
      </c>
      <c r="P252" s="80"/>
      <c r="Q252" s="80">
        <f t="shared" si="13"/>
        <v>61.56</v>
      </c>
      <c r="R252" s="80">
        <v>115.95</v>
      </c>
      <c r="S252" s="80">
        <v>2.55</v>
      </c>
      <c r="T252" s="83" t="s">
        <v>142</v>
      </c>
      <c r="U252" s="85" t="s">
        <v>143</v>
      </c>
    </row>
    <row r="253" spans="1:21" ht="85.5">
      <c r="A253" s="77">
        <v>4</v>
      </c>
      <c r="B253" s="79" t="s">
        <v>221</v>
      </c>
      <c r="C253" s="77" t="s">
        <v>16</v>
      </c>
      <c r="D253" s="36" t="s">
        <v>1403</v>
      </c>
      <c r="E253" s="84" t="s">
        <v>1404</v>
      </c>
      <c r="F253" s="79" t="s">
        <v>135</v>
      </c>
      <c r="G253" s="52" t="s">
        <v>1320</v>
      </c>
      <c r="H253" s="52" t="s">
        <v>16</v>
      </c>
      <c r="I253" s="79" t="s">
        <v>281</v>
      </c>
      <c r="J253" s="80">
        <v>16.3</v>
      </c>
      <c r="K253" s="80">
        <v>328.53</v>
      </c>
      <c r="L253" s="80" t="s">
        <v>1382</v>
      </c>
      <c r="M253" s="80" t="s">
        <v>1383</v>
      </c>
      <c r="N253" s="80" t="s">
        <v>1405</v>
      </c>
      <c r="O253" s="80">
        <v>326.75</v>
      </c>
      <c r="P253" s="80">
        <v>93.26</v>
      </c>
      <c r="Q253" s="80">
        <f t="shared" si="13"/>
        <v>420.01</v>
      </c>
      <c r="R253" s="80">
        <v>439.23</v>
      </c>
      <c r="S253" s="80">
        <v>16.3</v>
      </c>
      <c r="T253" s="83" t="s">
        <v>142</v>
      </c>
      <c r="U253" s="85" t="s">
        <v>143</v>
      </c>
    </row>
    <row r="254" spans="1:21" ht="142.5">
      <c r="A254" s="77">
        <v>15</v>
      </c>
      <c r="B254" s="79" t="s">
        <v>221</v>
      </c>
      <c r="C254" s="77" t="s">
        <v>16</v>
      </c>
      <c r="D254" s="36" t="s">
        <v>1406</v>
      </c>
      <c r="E254" s="84" t="s">
        <v>1407</v>
      </c>
      <c r="F254" s="79" t="s">
        <v>135</v>
      </c>
      <c r="G254" s="52" t="s">
        <v>1314</v>
      </c>
      <c r="H254" s="52" t="s">
        <v>1315</v>
      </c>
      <c r="I254" s="79" t="s">
        <v>1408</v>
      </c>
      <c r="J254" s="80">
        <v>10.04</v>
      </c>
      <c r="K254" s="80">
        <v>156.09</v>
      </c>
      <c r="L254" s="80" t="s">
        <v>1382</v>
      </c>
      <c r="M254" s="80" t="s">
        <v>1383</v>
      </c>
      <c r="N254" s="80" t="s">
        <v>241</v>
      </c>
      <c r="O254" s="80">
        <v>146.59</v>
      </c>
      <c r="P254" s="80">
        <v>45.75</v>
      </c>
      <c r="Q254" s="80">
        <f t="shared" si="13"/>
        <v>192.34</v>
      </c>
      <c r="R254" s="80">
        <v>196.93</v>
      </c>
      <c r="S254" s="80">
        <v>10.04</v>
      </c>
      <c r="T254" s="83" t="s">
        <v>142</v>
      </c>
      <c r="U254" s="85" t="s">
        <v>143</v>
      </c>
    </row>
    <row r="255" spans="1:21" ht="128.25">
      <c r="A255" s="77">
        <v>16</v>
      </c>
      <c r="B255" s="79" t="s">
        <v>221</v>
      </c>
      <c r="C255" s="77" t="s">
        <v>16</v>
      </c>
      <c r="D255" s="36" t="s">
        <v>1409</v>
      </c>
      <c r="E255" s="84" t="s">
        <v>1410</v>
      </c>
      <c r="F255" s="79" t="s">
        <v>135</v>
      </c>
      <c r="G255" s="52" t="s">
        <v>1314</v>
      </c>
      <c r="H255" s="52" t="s">
        <v>1315</v>
      </c>
      <c r="I255" s="79" t="s">
        <v>1361</v>
      </c>
      <c r="J255" s="80">
        <v>7.49</v>
      </c>
      <c r="K255" s="80">
        <v>139.58</v>
      </c>
      <c r="L255" s="80" t="s">
        <v>1411</v>
      </c>
      <c r="M255" s="80" t="s">
        <v>1412</v>
      </c>
      <c r="N255" s="80" t="s">
        <v>1405</v>
      </c>
      <c r="O255" s="80">
        <v>100.25</v>
      </c>
      <c r="P255" s="80"/>
      <c r="Q255" s="80">
        <f t="shared" si="13"/>
        <v>100.25</v>
      </c>
      <c r="R255" s="80">
        <v>112.94</v>
      </c>
      <c r="S255" s="80">
        <v>7.49</v>
      </c>
      <c r="T255" s="83" t="s">
        <v>142</v>
      </c>
      <c r="U255" s="85" t="s">
        <v>143</v>
      </c>
    </row>
    <row r="256" spans="1:21" ht="99.75">
      <c r="A256" s="77">
        <v>17</v>
      </c>
      <c r="B256" s="79" t="s">
        <v>244</v>
      </c>
      <c r="C256" s="77" t="s">
        <v>16</v>
      </c>
      <c r="D256" s="36" t="s">
        <v>1413</v>
      </c>
      <c r="E256" s="51" t="s">
        <v>1313</v>
      </c>
      <c r="F256" s="79" t="s">
        <v>135</v>
      </c>
      <c r="G256" s="53" t="s">
        <v>1314</v>
      </c>
      <c r="H256" s="53" t="s">
        <v>1315</v>
      </c>
      <c r="I256" s="81" t="s">
        <v>1414</v>
      </c>
      <c r="J256" s="80">
        <v>10.83</v>
      </c>
      <c r="K256" s="80">
        <v>218.98</v>
      </c>
      <c r="L256" s="80" t="s">
        <v>568</v>
      </c>
      <c r="M256" s="80" t="s">
        <v>1415</v>
      </c>
      <c r="N256" s="80" t="s">
        <v>1416</v>
      </c>
      <c r="O256" s="80">
        <v>191.28</v>
      </c>
      <c r="P256" s="80">
        <v>58.45</v>
      </c>
      <c r="Q256" s="80">
        <f>SUM(O256:P256)</f>
        <v>249.73000000000002</v>
      </c>
      <c r="R256" s="80">
        <v>244.76</v>
      </c>
      <c r="S256" s="80">
        <v>9</v>
      </c>
      <c r="T256" s="85" t="s">
        <v>142</v>
      </c>
      <c r="U256" s="83" t="s">
        <v>1188</v>
      </c>
    </row>
    <row r="257" spans="1:21" ht="114">
      <c r="A257" s="77">
        <v>18</v>
      </c>
      <c r="B257" s="79" t="s">
        <v>244</v>
      </c>
      <c r="C257" s="77" t="s">
        <v>16</v>
      </c>
      <c r="D257" s="36" t="s">
        <v>1417</v>
      </c>
      <c r="E257" s="51" t="s">
        <v>1319</v>
      </c>
      <c r="F257" s="79" t="s">
        <v>135</v>
      </c>
      <c r="G257" s="53" t="s">
        <v>1314</v>
      </c>
      <c r="H257" s="53" t="s">
        <v>1315</v>
      </c>
      <c r="I257" s="81" t="s">
        <v>1353</v>
      </c>
      <c r="J257" s="80">
        <v>21.63</v>
      </c>
      <c r="K257" s="80">
        <v>447.09</v>
      </c>
      <c r="L257" s="80" t="s">
        <v>1418</v>
      </c>
      <c r="M257" s="80" t="s">
        <v>230</v>
      </c>
      <c r="N257" s="80" t="s">
        <v>1419</v>
      </c>
      <c r="O257" s="80">
        <v>442.82</v>
      </c>
      <c r="P257" s="80">
        <v>18.3</v>
      </c>
      <c r="Q257" s="80">
        <f>SUM(O257:P257)</f>
        <v>461.12</v>
      </c>
      <c r="R257" s="80">
        <v>442.58</v>
      </c>
      <c r="S257" s="80">
        <v>21.63</v>
      </c>
      <c r="T257" s="85" t="s">
        <v>142</v>
      </c>
      <c r="U257" s="83" t="s">
        <v>143</v>
      </c>
    </row>
    <row r="258" spans="1:21" ht="89.25">
      <c r="A258" s="77">
        <v>19</v>
      </c>
      <c r="B258" s="79" t="s">
        <v>313</v>
      </c>
      <c r="C258" s="77" t="s">
        <v>16</v>
      </c>
      <c r="D258" s="69" t="s">
        <v>1422</v>
      </c>
      <c r="E258" s="77" t="s">
        <v>1327</v>
      </c>
      <c r="F258" s="79" t="s">
        <v>135</v>
      </c>
      <c r="G258" s="111" t="s">
        <v>1314</v>
      </c>
      <c r="H258" s="53" t="s">
        <v>1315</v>
      </c>
      <c r="I258" s="111" t="s">
        <v>319</v>
      </c>
      <c r="J258" s="80">
        <v>2.5</v>
      </c>
      <c r="K258" s="80">
        <v>102.16</v>
      </c>
      <c r="L258" s="80" t="s">
        <v>1423</v>
      </c>
      <c r="M258" s="80" t="s">
        <v>1424</v>
      </c>
      <c r="N258" s="80" t="s">
        <v>1242</v>
      </c>
      <c r="O258" s="80">
        <v>66.73</v>
      </c>
      <c r="P258" s="80"/>
      <c r="Q258" s="80">
        <f aca="true" t="shared" si="14" ref="Q258:Q263">SUM(O258:P258)</f>
        <v>66.73</v>
      </c>
      <c r="R258" s="80">
        <f>25.43+20.62</f>
        <v>46.05</v>
      </c>
      <c r="S258" s="80">
        <v>2.5</v>
      </c>
      <c r="T258" s="57" t="s">
        <v>142</v>
      </c>
      <c r="U258" s="56" t="s">
        <v>143</v>
      </c>
    </row>
    <row r="259" spans="1:21" ht="102">
      <c r="A259" s="77">
        <v>5</v>
      </c>
      <c r="B259" s="79" t="s">
        <v>313</v>
      </c>
      <c r="C259" s="77" t="s">
        <v>16</v>
      </c>
      <c r="D259" s="69" t="s">
        <v>1425</v>
      </c>
      <c r="E259" s="77" t="s">
        <v>1337</v>
      </c>
      <c r="F259" s="79" t="s">
        <v>159</v>
      </c>
      <c r="G259" s="111" t="s">
        <v>1320</v>
      </c>
      <c r="H259" s="111" t="s">
        <v>16</v>
      </c>
      <c r="I259" s="111" t="s">
        <v>1426</v>
      </c>
      <c r="J259" s="80">
        <v>16</v>
      </c>
      <c r="K259" s="80">
        <v>382.37</v>
      </c>
      <c r="L259" s="80" t="s">
        <v>987</v>
      </c>
      <c r="M259" s="80" t="s">
        <v>1427</v>
      </c>
      <c r="N259" s="80"/>
      <c r="O259" s="80">
        <v>326.54</v>
      </c>
      <c r="P259" s="80"/>
      <c r="Q259" s="80">
        <f t="shared" si="14"/>
        <v>326.54</v>
      </c>
      <c r="R259" s="80">
        <f>322.98+9.84</f>
        <v>332.82</v>
      </c>
      <c r="S259" s="80">
        <v>16</v>
      </c>
      <c r="T259" s="56" t="s">
        <v>142</v>
      </c>
      <c r="U259" s="56" t="s">
        <v>261</v>
      </c>
    </row>
    <row r="260" spans="1:21" ht="140.25">
      <c r="A260" s="77">
        <v>20</v>
      </c>
      <c r="B260" s="79" t="s">
        <v>313</v>
      </c>
      <c r="C260" s="77" t="s">
        <v>16</v>
      </c>
      <c r="D260" s="69" t="s">
        <v>1428</v>
      </c>
      <c r="E260" s="77" t="s">
        <v>1340</v>
      </c>
      <c r="F260" s="79" t="s">
        <v>159</v>
      </c>
      <c r="G260" s="111" t="s">
        <v>1314</v>
      </c>
      <c r="H260" s="53" t="s">
        <v>1315</v>
      </c>
      <c r="I260" s="111" t="s">
        <v>1429</v>
      </c>
      <c r="J260" s="80">
        <v>6.46</v>
      </c>
      <c r="K260" s="80">
        <v>191.46</v>
      </c>
      <c r="L260" s="80" t="s">
        <v>987</v>
      </c>
      <c r="M260" s="80" t="s">
        <v>1427</v>
      </c>
      <c r="N260" s="80" t="s">
        <v>308</v>
      </c>
      <c r="O260" s="80">
        <v>154.51</v>
      </c>
      <c r="P260" s="80"/>
      <c r="Q260" s="80">
        <f t="shared" si="14"/>
        <v>154.51</v>
      </c>
      <c r="R260" s="80">
        <f>150.1</f>
        <v>150.1</v>
      </c>
      <c r="S260" s="80">
        <v>6.46</v>
      </c>
      <c r="T260" s="56" t="s">
        <v>142</v>
      </c>
      <c r="U260" s="56" t="s">
        <v>261</v>
      </c>
    </row>
    <row r="261" spans="1:21" ht="114.75">
      <c r="A261" s="77">
        <v>21</v>
      </c>
      <c r="B261" s="79" t="s">
        <v>313</v>
      </c>
      <c r="C261" s="77" t="s">
        <v>16</v>
      </c>
      <c r="D261" s="69" t="s">
        <v>1430</v>
      </c>
      <c r="E261" s="77" t="s">
        <v>1343</v>
      </c>
      <c r="F261" s="79" t="s">
        <v>159</v>
      </c>
      <c r="G261" s="111" t="s">
        <v>1314</v>
      </c>
      <c r="H261" s="53" t="s">
        <v>1315</v>
      </c>
      <c r="I261" s="111" t="s">
        <v>1431</v>
      </c>
      <c r="J261" s="80">
        <v>10</v>
      </c>
      <c r="K261" s="80">
        <v>360.37</v>
      </c>
      <c r="L261" s="80" t="s">
        <v>987</v>
      </c>
      <c r="M261" s="80" t="s">
        <v>988</v>
      </c>
      <c r="N261" s="80" t="s">
        <v>1242</v>
      </c>
      <c r="O261" s="80">
        <v>260.75</v>
      </c>
      <c r="P261" s="80"/>
      <c r="Q261" s="80">
        <f t="shared" si="14"/>
        <v>260.75</v>
      </c>
      <c r="R261" s="80">
        <v>253.31</v>
      </c>
      <c r="S261" s="80">
        <v>10</v>
      </c>
      <c r="T261" s="57" t="s">
        <v>142</v>
      </c>
      <c r="U261" s="56" t="s">
        <v>261</v>
      </c>
    </row>
    <row r="262" spans="1:21" ht="114.75">
      <c r="A262" s="77">
        <v>6</v>
      </c>
      <c r="B262" s="79" t="s">
        <v>313</v>
      </c>
      <c r="C262" s="77" t="s">
        <v>16</v>
      </c>
      <c r="D262" s="69" t="s">
        <v>1432</v>
      </c>
      <c r="E262" s="77" t="s">
        <v>1346</v>
      </c>
      <c r="F262" s="79" t="s">
        <v>159</v>
      </c>
      <c r="G262" s="111" t="s">
        <v>1320</v>
      </c>
      <c r="H262" s="111" t="s">
        <v>16</v>
      </c>
      <c r="I262" s="111" t="s">
        <v>1433</v>
      </c>
      <c r="J262" s="80">
        <v>16.3</v>
      </c>
      <c r="K262" s="80">
        <v>440.55</v>
      </c>
      <c r="L262" s="80" t="s">
        <v>987</v>
      </c>
      <c r="M262" s="80" t="s">
        <v>988</v>
      </c>
      <c r="N262" s="80" t="s">
        <v>1434</v>
      </c>
      <c r="O262" s="80">
        <v>348.04</v>
      </c>
      <c r="P262" s="80"/>
      <c r="Q262" s="80">
        <f t="shared" si="14"/>
        <v>348.04</v>
      </c>
      <c r="R262" s="80">
        <v>300.6</v>
      </c>
      <c r="S262" s="80">
        <v>15</v>
      </c>
      <c r="T262" s="56" t="s">
        <v>142</v>
      </c>
      <c r="U262" s="56" t="s">
        <v>261</v>
      </c>
    </row>
    <row r="263" spans="1:21" ht="140.25">
      <c r="A263" s="77">
        <v>22</v>
      </c>
      <c r="B263" s="79" t="s">
        <v>313</v>
      </c>
      <c r="C263" s="77" t="s">
        <v>16</v>
      </c>
      <c r="D263" s="69" t="s">
        <v>1435</v>
      </c>
      <c r="E263" s="77" t="s">
        <v>1385</v>
      </c>
      <c r="F263" s="79" t="s">
        <v>159</v>
      </c>
      <c r="G263" s="111" t="s">
        <v>1314</v>
      </c>
      <c r="H263" s="53" t="s">
        <v>1315</v>
      </c>
      <c r="I263" s="111" t="s">
        <v>1436</v>
      </c>
      <c r="J263" s="80">
        <v>7.69</v>
      </c>
      <c r="K263" s="80">
        <v>248</v>
      </c>
      <c r="L263" s="80" t="s">
        <v>987</v>
      </c>
      <c r="M263" s="80" t="s">
        <v>988</v>
      </c>
      <c r="N263" s="80" t="s">
        <v>1437</v>
      </c>
      <c r="O263" s="80">
        <v>162.68</v>
      </c>
      <c r="P263" s="80"/>
      <c r="Q263" s="80">
        <f t="shared" si="14"/>
        <v>162.68</v>
      </c>
      <c r="R263" s="80">
        <v>159.82</v>
      </c>
      <c r="S263" s="80">
        <v>7.69</v>
      </c>
      <c r="T263" s="56" t="s">
        <v>142</v>
      </c>
      <c r="U263" s="56" t="s">
        <v>261</v>
      </c>
    </row>
    <row r="264" spans="1:21" ht="76.5">
      <c r="A264" s="77">
        <v>4</v>
      </c>
      <c r="B264" s="79" t="s">
        <v>395</v>
      </c>
      <c r="C264" s="77" t="s">
        <v>16</v>
      </c>
      <c r="D264" s="130" t="s">
        <v>1441</v>
      </c>
      <c r="E264" s="60" t="s">
        <v>1327</v>
      </c>
      <c r="F264" s="60" t="s">
        <v>159</v>
      </c>
      <c r="G264" s="60" t="s">
        <v>1334</v>
      </c>
      <c r="H264" s="40" t="s">
        <v>1315</v>
      </c>
      <c r="I264" s="40" t="s">
        <v>1442</v>
      </c>
      <c r="J264" s="40">
        <v>15.9</v>
      </c>
      <c r="K264" s="40">
        <v>375.9</v>
      </c>
      <c r="L264" s="40" t="s">
        <v>1443</v>
      </c>
      <c r="M264" s="40" t="s">
        <v>1444</v>
      </c>
      <c r="N264" s="40" t="s">
        <v>643</v>
      </c>
      <c r="O264" s="77"/>
      <c r="P264" s="77"/>
      <c r="Q264" s="40">
        <v>309.27</v>
      </c>
      <c r="R264" s="40">
        <v>321.91</v>
      </c>
      <c r="S264" s="40">
        <v>15.57</v>
      </c>
      <c r="T264" s="62" t="s">
        <v>397</v>
      </c>
      <c r="U264" s="77"/>
    </row>
    <row r="265" spans="1:21" ht="76.5">
      <c r="A265" s="77">
        <v>3</v>
      </c>
      <c r="B265" s="79" t="s">
        <v>395</v>
      </c>
      <c r="C265" s="77" t="s">
        <v>16</v>
      </c>
      <c r="D265" s="130" t="s">
        <v>1456</v>
      </c>
      <c r="E265" s="60" t="s">
        <v>1346</v>
      </c>
      <c r="F265" s="60" t="s">
        <v>159</v>
      </c>
      <c r="G265" s="60" t="s">
        <v>1397</v>
      </c>
      <c r="H265" s="40" t="s">
        <v>16</v>
      </c>
      <c r="I265" s="40" t="s">
        <v>1457</v>
      </c>
      <c r="J265" s="40">
        <v>2.55</v>
      </c>
      <c r="K265" s="40">
        <v>66.67</v>
      </c>
      <c r="L265" s="40" t="s">
        <v>1439</v>
      </c>
      <c r="M265" s="40" t="s">
        <v>1458</v>
      </c>
      <c r="N265" s="40" t="s">
        <v>736</v>
      </c>
      <c r="O265" s="77"/>
      <c r="P265" s="77"/>
      <c r="Q265" s="40">
        <v>56.54</v>
      </c>
      <c r="R265" s="40">
        <f>0.25+47.1</f>
        <v>47.35</v>
      </c>
      <c r="S265" s="40">
        <v>1.83</v>
      </c>
      <c r="T265" s="62" t="s">
        <v>397</v>
      </c>
      <c r="U265" s="77"/>
    </row>
    <row r="266" spans="1:21" ht="76.5">
      <c r="A266" s="77">
        <v>4</v>
      </c>
      <c r="B266" s="79" t="s">
        <v>395</v>
      </c>
      <c r="C266" s="77" t="s">
        <v>16</v>
      </c>
      <c r="D266" s="130" t="s">
        <v>1459</v>
      </c>
      <c r="E266" s="60" t="s">
        <v>1385</v>
      </c>
      <c r="F266" s="60" t="s">
        <v>159</v>
      </c>
      <c r="G266" s="60" t="s">
        <v>1397</v>
      </c>
      <c r="H266" s="40" t="s">
        <v>16</v>
      </c>
      <c r="I266" s="40" t="s">
        <v>1460</v>
      </c>
      <c r="J266" s="40">
        <v>3.05</v>
      </c>
      <c r="K266" s="40">
        <v>71.37</v>
      </c>
      <c r="L266" s="40" t="s">
        <v>1461</v>
      </c>
      <c r="M266" s="40" t="s">
        <v>1462</v>
      </c>
      <c r="N266" s="40" t="s">
        <v>736</v>
      </c>
      <c r="O266" s="77"/>
      <c r="P266" s="77"/>
      <c r="Q266" s="40">
        <v>84.67</v>
      </c>
      <c r="R266" s="40">
        <f>0.3+59.37</f>
        <v>59.669999999999995</v>
      </c>
      <c r="S266" s="40">
        <v>2.85</v>
      </c>
      <c r="T266" s="62" t="s">
        <v>397</v>
      </c>
      <c r="U266" s="77"/>
    </row>
    <row r="267" spans="1:21" ht="76.5">
      <c r="A267" s="77">
        <v>23</v>
      </c>
      <c r="B267" s="79" t="s">
        <v>395</v>
      </c>
      <c r="C267" s="77" t="s">
        <v>16</v>
      </c>
      <c r="D267" s="130" t="s">
        <v>1464</v>
      </c>
      <c r="E267" s="60" t="s">
        <v>1393</v>
      </c>
      <c r="F267" s="60" t="s">
        <v>159</v>
      </c>
      <c r="G267" s="60" t="s">
        <v>1314</v>
      </c>
      <c r="H267" s="40" t="s">
        <v>1315</v>
      </c>
      <c r="I267" s="40" t="s">
        <v>1465</v>
      </c>
      <c r="J267" s="40">
        <v>7.49</v>
      </c>
      <c r="K267" s="40">
        <v>228.66</v>
      </c>
      <c r="L267" s="40" t="s">
        <v>1466</v>
      </c>
      <c r="M267" s="40" t="s">
        <v>681</v>
      </c>
      <c r="N267" s="40" t="s">
        <v>1242</v>
      </c>
      <c r="O267" s="77"/>
      <c r="P267" s="77"/>
      <c r="Q267" s="40">
        <v>237.2</v>
      </c>
      <c r="R267" s="40">
        <v>226.37</v>
      </c>
      <c r="S267" s="40">
        <v>7.49</v>
      </c>
      <c r="T267" s="62" t="s">
        <v>397</v>
      </c>
      <c r="U267" s="77"/>
    </row>
    <row r="268" spans="1:21" ht="76.5">
      <c r="A268" s="77">
        <v>24</v>
      </c>
      <c r="B268" s="79" t="s">
        <v>395</v>
      </c>
      <c r="C268" s="77" t="s">
        <v>16</v>
      </c>
      <c r="D268" s="130" t="s">
        <v>1467</v>
      </c>
      <c r="E268" s="60" t="s">
        <v>1396</v>
      </c>
      <c r="F268" s="60" t="s">
        <v>159</v>
      </c>
      <c r="G268" s="60" t="s">
        <v>1314</v>
      </c>
      <c r="H268" s="40" t="s">
        <v>1315</v>
      </c>
      <c r="I268" s="40" t="s">
        <v>1468</v>
      </c>
      <c r="J268" s="40">
        <v>9.51</v>
      </c>
      <c r="K268" s="40">
        <v>267.66</v>
      </c>
      <c r="L268" s="40" t="s">
        <v>1469</v>
      </c>
      <c r="M268" s="40" t="s">
        <v>1470</v>
      </c>
      <c r="N268" s="40" t="s">
        <v>1242</v>
      </c>
      <c r="O268" s="77"/>
      <c r="P268" s="77"/>
      <c r="Q268" s="40">
        <v>263.71</v>
      </c>
      <c r="R268" s="40">
        <v>264.3</v>
      </c>
      <c r="S268" s="40">
        <v>9.51</v>
      </c>
      <c r="T268" s="62" t="s">
        <v>397</v>
      </c>
      <c r="U268" s="77"/>
    </row>
    <row r="269" spans="1:21" ht="114.75">
      <c r="A269" s="77">
        <v>25</v>
      </c>
      <c r="B269" s="79" t="s">
        <v>462</v>
      </c>
      <c r="C269" s="77" t="s">
        <v>16</v>
      </c>
      <c r="D269" s="66" t="s">
        <v>1527</v>
      </c>
      <c r="E269" s="43" t="s">
        <v>1388</v>
      </c>
      <c r="F269" s="43" t="s">
        <v>391</v>
      </c>
      <c r="G269" s="43" t="s">
        <v>1314</v>
      </c>
      <c r="H269" s="43" t="s">
        <v>1315</v>
      </c>
      <c r="I269" s="42" t="s">
        <v>1429</v>
      </c>
      <c r="J269" s="67">
        <v>4.9</v>
      </c>
      <c r="K269" s="70">
        <v>268.42</v>
      </c>
      <c r="L269" s="70" t="s">
        <v>1478</v>
      </c>
      <c r="M269" s="70" t="s">
        <v>1528</v>
      </c>
      <c r="N269" s="70" t="s">
        <v>643</v>
      </c>
      <c r="O269" s="77"/>
      <c r="P269" s="77"/>
      <c r="Q269" s="70">
        <v>266.03</v>
      </c>
      <c r="R269" s="70">
        <v>240.57</v>
      </c>
      <c r="S269" s="70">
        <v>4.9</v>
      </c>
      <c r="T269" s="62" t="s">
        <v>397</v>
      </c>
      <c r="U269" s="42"/>
    </row>
    <row r="270" spans="1:21" ht="89.25">
      <c r="A270" s="77">
        <v>26</v>
      </c>
      <c r="B270" s="79" t="s">
        <v>462</v>
      </c>
      <c r="C270" s="77" t="s">
        <v>16</v>
      </c>
      <c r="D270" s="66" t="s">
        <v>1531</v>
      </c>
      <c r="E270" s="72" t="s">
        <v>1532</v>
      </c>
      <c r="F270" s="43" t="s">
        <v>391</v>
      </c>
      <c r="G270" s="43" t="s">
        <v>1314</v>
      </c>
      <c r="H270" s="43" t="s">
        <v>1315</v>
      </c>
      <c r="I270" s="42" t="s">
        <v>1465</v>
      </c>
      <c r="J270" s="67">
        <v>5.605</v>
      </c>
      <c r="K270" s="70">
        <v>314.51</v>
      </c>
      <c r="L270" s="70" t="s">
        <v>1272</v>
      </c>
      <c r="M270" s="70" t="s">
        <v>1528</v>
      </c>
      <c r="N270" s="70" t="s">
        <v>643</v>
      </c>
      <c r="O270" s="77"/>
      <c r="P270" s="77"/>
      <c r="Q270" s="70">
        <v>309.44</v>
      </c>
      <c r="R270" s="70">
        <v>293.45</v>
      </c>
      <c r="S270" s="70">
        <v>5.61</v>
      </c>
      <c r="T270" s="62" t="s">
        <v>397</v>
      </c>
      <c r="U270" s="42"/>
    </row>
    <row r="271" spans="1:21" ht="114">
      <c r="A271" s="77">
        <v>1</v>
      </c>
      <c r="B271" s="79" t="s">
        <v>135</v>
      </c>
      <c r="C271" s="77" t="s">
        <v>17</v>
      </c>
      <c r="D271" s="36" t="s">
        <v>1536</v>
      </c>
      <c r="E271" s="181" t="s">
        <v>1537</v>
      </c>
      <c r="F271" s="79" t="s">
        <v>138</v>
      </c>
      <c r="G271" s="44" t="s">
        <v>1538</v>
      </c>
      <c r="H271" s="80" t="s">
        <v>16</v>
      </c>
      <c r="I271" s="90" t="s">
        <v>141</v>
      </c>
      <c r="J271" s="86">
        <v>0.5</v>
      </c>
      <c r="K271" s="194">
        <v>191.57</v>
      </c>
      <c r="L271" s="58"/>
      <c r="M271" s="58"/>
      <c r="N271" s="111"/>
      <c r="O271" s="194">
        <v>158.41</v>
      </c>
      <c r="P271" s="77"/>
      <c r="Q271" s="77"/>
      <c r="R271" s="194">
        <f>4.38+5.35+23.65+51.56+48.56+52</f>
        <v>185.5</v>
      </c>
      <c r="S271" s="86">
        <v>0.5</v>
      </c>
      <c r="T271" s="85" t="s">
        <v>142</v>
      </c>
      <c r="U271" s="85" t="s">
        <v>143</v>
      </c>
    </row>
    <row r="272" spans="1:21" ht="114">
      <c r="A272" s="77">
        <v>2</v>
      </c>
      <c r="B272" s="79" t="s">
        <v>135</v>
      </c>
      <c r="C272" s="77" t="s">
        <v>17</v>
      </c>
      <c r="D272" s="36" t="s">
        <v>1539</v>
      </c>
      <c r="E272" s="181"/>
      <c r="F272" s="79" t="s">
        <v>138</v>
      </c>
      <c r="G272" s="44" t="s">
        <v>1538</v>
      </c>
      <c r="H272" s="80" t="s">
        <v>16</v>
      </c>
      <c r="I272" s="90" t="s">
        <v>141</v>
      </c>
      <c r="J272" s="86">
        <v>0.3</v>
      </c>
      <c r="K272" s="194"/>
      <c r="L272" s="58"/>
      <c r="M272" s="58"/>
      <c r="N272" s="111"/>
      <c r="O272" s="194"/>
      <c r="P272" s="77"/>
      <c r="Q272" s="77"/>
      <c r="R272" s="181"/>
      <c r="S272" s="86">
        <v>0.3</v>
      </c>
      <c r="T272" s="85" t="s">
        <v>142</v>
      </c>
      <c r="U272" s="85" t="s">
        <v>143</v>
      </c>
    </row>
    <row r="273" spans="1:21" ht="114">
      <c r="A273" s="77">
        <v>3</v>
      </c>
      <c r="B273" s="79" t="s">
        <v>135</v>
      </c>
      <c r="C273" s="77" t="s">
        <v>17</v>
      </c>
      <c r="D273" s="36" t="s">
        <v>1540</v>
      </c>
      <c r="E273" s="181"/>
      <c r="F273" s="79" t="s">
        <v>138</v>
      </c>
      <c r="G273" s="44" t="s">
        <v>1538</v>
      </c>
      <c r="H273" s="80" t="s">
        <v>16</v>
      </c>
      <c r="I273" s="90" t="s">
        <v>141</v>
      </c>
      <c r="J273" s="86">
        <v>0.9</v>
      </c>
      <c r="K273" s="194"/>
      <c r="L273" s="58"/>
      <c r="M273" s="58"/>
      <c r="N273" s="111"/>
      <c r="O273" s="194"/>
      <c r="P273" s="77"/>
      <c r="Q273" s="77"/>
      <c r="R273" s="181"/>
      <c r="S273" s="86">
        <v>0.9</v>
      </c>
      <c r="T273" s="85" t="s">
        <v>142</v>
      </c>
      <c r="U273" s="85" t="s">
        <v>143</v>
      </c>
    </row>
    <row r="274" spans="1:21" ht="71.25">
      <c r="A274" s="77">
        <v>1</v>
      </c>
      <c r="B274" s="79" t="s">
        <v>135</v>
      </c>
      <c r="C274" s="77" t="s">
        <v>17</v>
      </c>
      <c r="D274" s="36" t="s">
        <v>1541</v>
      </c>
      <c r="E274" s="181"/>
      <c r="F274" s="79" t="s">
        <v>138</v>
      </c>
      <c r="G274" s="44" t="s">
        <v>1542</v>
      </c>
      <c r="H274" s="80" t="s">
        <v>16</v>
      </c>
      <c r="I274" s="90" t="s">
        <v>141</v>
      </c>
      <c r="J274" s="86">
        <v>2.7</v>
      </c>
      <c r="K274" s="194"/>
      <c r="L274" s="58"/>
      <c r="M274" s="58"/>
      <c r="N274" s="111"/>
      <c r="O274" s="194"/>
      <c r="P274" s="77"/>
      <c r="Q274" s="77"/>
      <c r="R274" s="181"/>
      <c r="S274" s="86">
        <v>2.7</v>
      </c>
      <c r="T274" s="85" t="s">
        <v>142</v>
      </c>
      <c r="U274" s="85" t="s">
        <v>143</v>
      </c>
    </row>
    <row r="275" spans="1:21" ht="85.5">
      <c r="A275" s="77">
        <v>1</v>
      </c>
      <c r="B275" s="79" t="s">
        <v>135</v>
      </c>
      <c r="C275" s="77" t="s">
        <v>17</v>
      </c>
      <c r="D275" s="36" t="s">
        <v>1543</v>
      </c>
      <c r="E275" s="181"/>
      <c r="F275" s="79" t="s">
        <v>138</v>
      </c>
      <c r="G275" s="44" t="s">
        <v>1544</v>
      </c>
      <c r="H275" s="80" t="s">
        <v>16</v>
      </c>
      <c r="I275" s="90" t="s">
        <v>141</v>
      </c>
      <c r="J275" s="86">
        <v>2.5</v>
      </c>
      <c r="K275" s="194"/>
      <c r="L275" s="58"/>
      <c r="M275" s="58"/>
      <c r="N275" s="111"/>
      <c r="O275" s="194"/>
      <c r="P275" s="77"/>
      <c r="Q275" s="77"/>
      <c r="R275" s="181"/>
      <c r="S275" s="86">
        <v>2.5</v>
      </c>
      <c r="T275" s="85" t="s">
        <v>142</v>
      </c>
      <c r="U275" s="85" t="s">
        <v>143</v>
      </c>
    </row>
    <row r="276" spans="1:21" ht="71.25">
      <c r="A276" s="77">
        <v>1</v>
      </c>
      <c r="B276" s="79" t="s">
        <v>135</v>
      </c>
      <c r="C276" s="77" t="s">
        <v>17</v>
      </c>
      <c r="D276" s="36" t="s">
        <v>1545</v>
      </c>
      <c r="E276" s="181"/>
      <c r="F276" s="79" t="s">
        <v>138</v>
      </c>
      <c r="G276" s="44" t="s">
        <v>1546</v>
      </c>
      <c r="H276" s="80" t="s">
        <v>16</v>
      </c>
      <c r="I276" s="90" t="s">
        <v>141</v>
      </c>
      <c r="J276" s="86">
        <v>1.9</v>
      </c>
      <c r="K276" s="194"/>
      <c r="L276" s="58"/>
      <c r="M276" s="58"/>
      <c r="N276" s="111"/>
      <c r="O276" s="194"/>
      <c r="P276" s="77"/>
      <c r="Q276" s="77"/>
      <c r="R276" s="181"/>
      <c r="S276" s="86">
        <v>1.9</v>
      </c>
      <c r="T276" s="85" t="s">
        <v>142</v>
      </c>
      <c r="U276" s="85" t="s">
        <v>143</v>
      </c>
    </row>
    <row r="277" spans="1:21" ht="114">
      <c r="A277" s="77">
        <v>1</v>
      </c>
      <c r="B277" s="79" t="s">
        <v>135</v>
      </c>
      <c r="C277" s="77" t="s">
        <v>17</v>
      </c>
      <c r="D277" s="36" t="s">
        <v>1547</v>
      </c>
      <c r="E277" s="181" t="s">
        <v>1548</v>
      </c>
      <c r="F277" s="79" t="s">
        <v>138</v>
      </c>
      <c r="G277" s="44" t="s">
        <v>1549</v>
      </c>
      <c r="H277" s="80" t="s">
        <v>16</v>
      </c>
      <c r="I277" s="90" t="s">
        <v>141</v>
      </c>
      <c r="J277" s="86">
        <v>1.1</v>
      </c>
      <c r="K277" s="194">
        <v>119.41</v>
      </c>
      <c r="L277" s="58"/>
      <c r="M277" s="58"/>
      <c r="N277" s="111"/>
      <c r="O277" s="194">
        <v>105.15</v>
      </c>
      <c r="P277" s="77"/>
      <c r="Q277" s="77"/>
      <c r="R277" s="194">
        <v>113.56</v>
      </c>
      <c r="S277" s="86">
        <v>1.1</v>
      </c>
      <c r="T277" s="85" t="s">
        <v>142</v>
      </c>
      <c r="U277" s="85" t="s">
        <v>143</v>
      </c>
    </row>
    <row r="278" spans="1:21" ht="99.75">
      <c r="A278" s="77">
        <v>1</v>
      </c>
      <c r="B278" s="79" t="s">
        <v>135</v>
      </c>
      <c r="C278" s="77" t="s">
        <v>17</v>
      </c>
      <c r="D278" s="36" t="s">
        <v>1550</v>
      </c>
      <c r="E278" s="181"/>
      <c r="F278" s="79" t="s">
        <v>138</v>
      </c>
      <c r="G278" s="44" t="s">
        <v>1551</v>
      </c>
      <c r="H278" s="80" t="s">
        <v>16</v>
      </c>
      <c r="I278" s="90" t="s">
        <v>141</v>
      </c>
      <c r="J278" s="86">
        <v>1.5</v>
      </c>
      <c r="K278" s="194"/>
      <c r="L278" s="58"/>
      <c r="M278" s="58"/>
      <c r="N278" s="111"/>
      <c r="O278" s="194"/>
      <c r="P278" s="77"/>
      <c r="Q278" s="77"/>
      <c r="R278" s="194"/>
      <c r="S278" s="86">
        <v>1.5</v>
      </c>
      <c r="T278" s="85" t="s">
        <v>142</v>
      </c>
      <c r="U278" s="85" t="s">
        <v>143</v>
      </c>
    </row>
    <row r="279" spans="1:21" ht="42.75">
      <c r="A279" s="77">
        <v>2</v>
      </c>
      <c r="B279" s="79" t="s">
        <v>135</v>
      </c>
      <c r="C279" s="77" t="s">
        <v>17</v>
      </c>
      <c r="D279" s="36" t="s">
        <v>1552</v>
      </c>
      <c r="E279" s="181"/>
      <c r="F279" s="79" t="s">
        <v>138</v>
      </c>
      <c r="G279" s="44" t="s">
        <v>1542</v>
      </c>
      <c r="H279" s="80" t="s">
        <v>16</v>
      </c>
      <c r="I279" s="90" t="s">
        <v>141</v>
      </c>
      <c r="J279" s="86">
        <v>0.6</v>
      </c>
      <c r="K279" s="194"/>
      <c r="L279" s="58"/>
      <c r="M279" s="58"/>
      <c r="N279" s="111"/>
      <c r="O279" s="194"/>
      <c r="P279" s="77"/>
      <c r="Q279" s="77"/>
      <c r="R279" s="194"/>
      <c r="S279" s="86">
        <v>0.6</v>
      </c>
      <c r="T279" s="85" t="s">
        <v>142</v>
      </c>
      <c r="U279" s="85" t="s">
        <v>143</v>
      </c>
    </row>
    <row r="280" spans="1:21" ht="71.25">
      <c r="A280" s="77">
        <v>3</v>
      </c>
      <c r="B280" s="79" t="s">
        <v>135</v>
      </c>
      <c r="C280" s="77" t="s">
        <v>17</v>
      </c>
      <c r="D280" s="36" t="s">
        <v>1553</v>
      </c>
      <c r="E280" s="181"/>
      <c r="F280" s="79" t="s">
        <v>138</v>
      </c>
      <c r="G280" s="44" t="s">
        <v>1542</v>
      </c>
      <c r="H280" s="80" t="s">
        <v>16</v>
      </c>
      <c r="I280" s="90" t="s">
        <v>141</v>
      </c>
      <c r="J280" s="86">
        <v>2.5</v>
      </c>
      <c r="K280" s="194"/>
      <c r="L280" s="58"/>
      <c r="M280" s="58"/>
      <c r="N280" s="111"/>
      <c r="O280" s="194"/>
      <c r="P280" s="77"/>
      <c r="Q280" s="77"/>
      <c r="R280" s="194"/>
      <c r="S280" s="86">
        <v>2.5</v>
      </c>
      <c r="T280" s="85" t="s">
        <v>142</v>
      </c>
      <c r="U280" s="85" t="s">
        <v>143</v>
      </c>
    </row>
    <row r="281" spans="1:21" ht="71.25">
      <c r="A281" s="77">
        <v>4</v>
      </c>
      <c r="B281" s="79" t="s">
        <v>135</v>
      </c>
      <c r="C281" s="77" t="s">
        <v>17</v>
      </c>
      <c r="D281" s="36" t="s">
        <v>1554</v>
      </c>
      <c r="E281" s="181"/>
      <c r="F281" s="79" t="s">
        <v>138</v>
      </c>
      <c r="G281" s="44" t="s">
        <v>1542</v>
      </c>
      <c r="H281" s="80" t="s">
        <v>16</v>
      </c>
      <c r="I281" s="90" t="s">
        <v>141</v>
      </c>
      <c r="J281" s="86">
        <v>0.3</v>
      </c>
      <c r="K281" s="194"/>
      <c r="L281" s="58"/>
      <c r="M281" s="58"/>
      <c r="N281" s="111"/>
      <c r="O281" s="194"/>
      <c r="P281" s="77"/>
      <c r="Q281" s="77"/>
      <c r="R281" s="194"/>
      <c r="S281" s="86">
        <v>0.3</v>
      </c>
      <c r="T281" s="85" t="s">
        <v>142</v>
      </c>
      <c r="U281" s="85" t="s">
        <v>143</v>
      </c>
    </row>
    <row r="282" spans="1:21" ht="42.75">
      <c r="A282" s="77">
        <v>5</v>
      </c>
      <c r="B282" s="79" t="s">
        <v>135</v>
      </c>
      <c r="C282" s="77" t="s">
        <v>17</v>
      </c>
      <c r="D282" s="36" t="s">
        <v>1555</v>
      </c>
      <c r="E282" s="181"/>
      <c r="F282" s="79" t="s">
        <v>138</v>
      </c>
      <c r="G282" s="44" t="s">
        <v>1542</v>
      </c>
      <c r="H282" s="80" t="s">
        <v>16</v>
      </c>
      <c r="I282" s="90" t="s">
        <v>141</v>
      </c>
      <c r="J282" s="86">
        <v>0.5</v>
      </c>
      <c r="K282" s="194"/>
      <c r="L282" s="58"/>
      <c r="M282" s="58"/>
      <c r="N282" s="111"/>
      <c r="O282" s="194"/>
      <c r="P282" s="77"/>
      <c r="Q282" s="77"/>
      <c r="R282" s="194"/>
      <c r="S282" s="86">
        <v>0.5</v>
      </c>
      <c r="T282" s="85" t="s">
        <v>142</v>
      </c>
      <c r="U282" s="85" t="s">
        <v>143</v>
      </c>
    </row>
    <row r="283" spans="1:21" ht="85.5">
      <c r="A283" s="77">
        <v>2</v>
      </c>
      <c r="B283" s="79" t="s">
        <v>135</v>
      </c>
      <c r="C283" s="77" t="s">
        <v>17</v>
      </c>
      <c r="D283" s="36" t="s">
        <v>1556</v>
      </c>
      <c r="E283" s="181" t="s">
        <v>1557</v>
      </c>
      <c r="F283" s="79" t="s">
        <v>138</v>
      </c>
      <c r="G283" s="44" t="s">
        <v>1551</v>
      </c>
      <c r="H283" s="80" t="s">
        <v>16</v>
      </c>
      <c r="I283" s="90" t="s">
        <v>141</v>
      </c>
      <c r="J283" s="86">
        <v>2.5</v>
      </c>
      <c r="K283" s="194">
        <v>117.36</v>
      </c>
      <c r="L283" s="58"/>
      <c r="M283" s="58"/>
      <c r="N283" s="111"/>
      <c r="O283" s="194">
        <v>104.89</v>
      </c>
      <c r="P283" s="77"/>
      <c r="Q283" s="77"/>
      <c r="R283" s="194">
        <v>119.39</v>
      </c>
      <c r="S283" s="86">
        <v>2.5</v>
      </c>
      <c r="T283" s="85" t="s">
        <v>142</v>
      </c>
      <c r="U283" s="85" t="s">
        <v>143</v>
      </c>
    </row>
    <row r="284" spans="1:21" ht="85.5">
      <c r="A284" s="77">
        <v>3</v>
      </c>
      <c r="B284" s="79" t="s">
        <v>135</v>
      </c>
      <c r="C284" s="77" t="s">
        <v>17</v>
      </c>
      <c r="D284" s="36" t="s">
        <v>1558</v>
      </c>
      <c r="E284" s="181"/>
      <c r="F284" s="79" t="s">
        <v>138</v>
      </c>
      <c r="G284" s="44" t="s">
        <v>1551</v>
      </c>
      <c r="H284" s="80" t="s">
        <v>16</v>
      </c>
      <c r="I284" s="90" t="s">
        <v>141</v>
      </c>
      <c r="J284" s="86">
        <v>2.5</v>
      </c>
      <c r="K284" s="194"/>
      <c r="L284" s="58"/>
      <c r="M284" s="58"/>
      <c r="N284" s="111"/>
      <c r="O284" s="194"/>
      <c r="P284" s="77"/>
      <c r="Q284" s="77"/>
      <c r="R284" s="194"/>
      <c r="S284" s="86">
        <v>2.5</v>
      </c>
      <c r="T284" s="85" t="s">
        <v>142</v>
      </c>
      <c r="U284" s="85" t="s">
        <v>143</v>
      </c>
    </row>
    <row r="285" spans="1:21" ht="71.25">
      <c r="A285" s="77">
        <v>4</v>
      </c>
      <c r="B285" s="79" t="s">
        <v>135</v>
      </c>
      <c r="C285" s="77" t="s">
        <v>17</v>
      </c>
      <c r="D285" s="36" t="s">
        <v>1559</v>
      </c>
      <c r="E285" s="181"/>
      <c r="F285" s="79" t="s">
        <v>138</v>
      </c>
      <c r="G285" s="44" t="s">
        <v>1551</v>
      </c>
      <c r="H285" s="80" t="s">
        <v>16</v>
      </c>
      <c r="I285" s="90" t="s">
        <v>141</v>
      </c>
      <c r="J285" s="86">
        <v>1</v>
      </c>
      <c r="K285" s="194"/>
      <c r="L285" s="58"/>
      <c r="M285" s="58"/>
      <c r="N285" s="111"/>
      <c r="O285" s="194"/>
      <c r="P285" s="77"/>
      <c r="Q285" s="77"/>
      <c r="R285" s="194"/>
      <c r="S285" s="86">
        <v>1</v>
      </c>
      <c r="T285" s="85" t="s">
        <v>142</v>
      </c>
      <c r="U285" s="85" t="s">
        <v>143</v>
      </c>
    </row>
    <row r="286" spans="1:21" ht="99.75">
      <c r="A286" s="77">
        <v>4</v>
      </c>
      <c r="B286" s="79" t="s">
        <v>157</v>
      </c>
      <c r="C286" s="77" t="s">
        <v>17</v>
      </c>
      <c r="D286" s="46" t="s">
        <v>1560</v>
      </c>
      <c r="E286" s="204" t="s">
        <v>1537</v>
      </c>
      <c r="F286" s="79" t="s">
        <v>159</v>
      </c>
      <c r="G286" s="47" t="s">
        <v>1538</v>
      </c>
      <c r="H286" s="80" t="s">
        <v>16</v>
      </c>
      <c r="I286" s="47"/>
      <c r="J286" s="78">
        <v>3</v>
      </c>
      <c r="K286" s="192">
        <v>104.83</v>
      </c>
      <c r="L286" s="48"/>
      <c r="M286" s="48"/>
      <c r="N286" s="193" t="s">
        <v>1561</v>
      </c>
      <c r="O286" s="78"/>
      <c r="P286" s="78"/>
      <c r="Q286" s="78"/>
      <c r="R286" s="78">
        <v>50.33</v>
      </c>
      <c r="S286" s="78">
        <v>3</v>
      </c>
      <c r="T286" s="49" t="s">
        <v>142</v>
      </c>
      <c r="U286" s="85" t="s">
        <v>143</v>
      </c>
    </row>
    <row r="287" spans="1:21" ht="57">
      <c r="A287" s="77">
        <v>1</v>
      </c>
      <c r="B287" s="79" t="s">
        <v>157</v>
      </c>
      <c r="C287" s="77" t="s">
        <v>17</v>
      </c>
      <c r="D287" s="46" t="s">
        <v>1562</v>
      </c>
      <c r="E287" s="204"/>
      <c r="F287" s="79" t="s">
        <v>159</v>
      </c>
      <c r="G287" s="47" t="s">
        <v>1563</v>
      </c>
      <c r="H287" s="80" t="s">
        <v>16</v>
      </c>
      <c r="I287" s="47"/>
      <c r="J287" s="78">
        <v>1.56</v>
      </c>
      <c r="K287" s="192"/>
      <c r="L287" s="48"/>
      <c r="M287" s="48"/>
      <c r="N287" s="193"/>
      <c r="O287" s="78"/>
      <c r="P287" s="78"/>
      <c r="Q287" s="78"/>
      <c r="R287" s="78">
        <v>32.34</v>
      </c>
      <c r="S287" s="78">
        <v>1.56</v>
      </c>
      <c r="T287" s="49" t="s">
        <v>142</v>
      </c>
      <c r="U287" s="85" t="s">
        <v>143</v>
      </c>
    </row>
    <row r="288" spans="1:21" ht="71.25">
      <c r="A288" s="77">
        <v>5</v>
      </c>
      <c r="B288" s="79" t="s">
        <v>157</v>
      </c>
      <c r="C288" s="77" t="s">
        <v>17</v>
      </c>
      <c r="D288" s="46" t="s">
        <v>1564</v>
      </c>
      <c r="E288" s="204"/>
      <c r="F288" s="79" t="s">
        <v>159</v>
      </c>
      <c r="G288" s="47" t="s">
        <v>1551</v>
      </c>
      <c r="H288" s="80" t="s">
        <v>16</v>
      </c>
      <c r="I288" s="47"/>
      <c r="J288" s="78">
        <v>1.55</v>
      </c>
      <c r="K288" s="192"/>
      <c r="L288" s="48"/>
      <c r="M288" s="48"/>
      <c r="N288" s="193"/>
      <c r="O288" s="78"/>
      <c r="P288" s="78"/>
      <c r="Q288" s="78"/>
      <c r="R288" s="78">
        <v>37.14</v>
      </c>
      <c r="S288" s="78">
        <v>1.55</v>
      </c>
      <c r="T288" s="49" t="s">
        <v>142</v>
      </c>
      <c r="U288" s="85" t="s">
        <v>143</v>
      </c>
    </row>
    <row r="289" spans="1:21" ht="85.5">
      <c r="A289" s="77">
        <v>5</v>
      </c>
      <c r="B289" s="79" t="s">
        <v>157</v>
      </c>
      <c r="C289" s="77" t="s">
        <v>17</v>
      </c>
      <c r="D289" s="46" t="s">
        <v>1565</v>
      </c>
      <c r="E289" s="204" t="s">
        <v>1548</v>
      </c>
      <c r="F289" s="79" t="s">
        <v>159</v>
      </c>
      <c r="G289" s="47" t="s">
        <v>1538</v>
      </c>
      <c r="H289" s="80" t="s">
        <v>16</v>
      </c>
      <c r="I289" s="47"/>
      <c r="J289" s="78">
        <v>4</v>
      </c>
      <c r="K289" s="192">
        <v>125.39</v>
      </c>
      <c r="L289" s="48"/>
      <c r="M289" s="48"/>
      <c r="N289" s="193" t="s">
        <v>1566</v>
      </c>
      <c r="O289" s="78"/>
      <c r="P289" s="78"/>
      <c r="Q289" s="78"/>
      <c r="R289" s="78">
        <v>69.42</v>
      </c>
      <c r="S289" s="78">
        <v>4</v>
      </c>
      <c r="T289" s="49" t="s">
        <v>142</v>
      </c>
      <c r="U289" s="85" t="s">
        <v>143</v>
      </c>
    </row>
    <row r="290" spans="1:21" ht="99.75">
      <c r="A290" s="77">
        <v>2</v>
      </c>
      <c r="B290" s="79" t="s">
        <v>157</v>
      </c>
      <c r="C290" s="77" t="s">
        <v>17</v>
      </c>
      <c r="D290" s="46" t="s">
        <v>1567</v>
      </c>
      <c r="E290" s="204"/>
      <c r="F290" s="79" t="s">
        <v>159</v>
      </c>
      <c r="G290" s="47" t="s">
        <v>1549</v>
      </c>
      <c r="H290" s="80" t="s">
        <v>16</v>
      </c>
      <c r="I290" s="47"/>
      <c r="J290" s="78">
        <v>2.3</v>
      </c>
      <c r="K290" s="192"/>
      <c r="L290" s="48"/>
      <c r="M290" s="48"/>
      <c r="N290" s="193"/>
      <c r="O290" s="78"/>
      <c r="P290" s="78"/>
      <c r="Q290" s="78"/>
      <c r="R290" s="78">
        <v>38.42</v>
      </c>
      <c r="S290" s="78">
        <v>2.3</v>
      </c>
      <c r="T290" s="49" t="s">
        <v>142</v>
      </c>
      <c r="U290" s="85" t="s">
        <v>143</v>
      </c>
    </row>
    <row r="291" spans="1:21" ht="57">
      <c r="A291" s="77">
        <v>2</v>
      </c>
      <c r="B291" s="79" t="s">
        <v>157</v>
      </c>
      <c r="C291" s="77" t="s">
        <v>17</v>
      </c>
      <c r="D291" s="46" t="s">
        <v>1568</v>
      </c>
      <c r="E291" s="204" t="s">
        <v>1557</v>
      </c>
      <c r="F291" s="79" t="s">
        <v>159</v>
      </c>
      <c r="G291" s="47" t="s">
        <v>1544</v>
      </c>
      <c r="H291" s="80" t="s">
        <v>16</v>
      </c>
      <c r="I291" s="47"/>
      <c r="J291" s="78">
        <v>0.61</v>
      </c>
      <c r="K291" s="192">
        <v>88.11</v>
      </c>
      <c r="L291" s="48"/>
      <c r="M291" s="48"/>
      <c r="N291" s="193" t="s">
        <v>1569</v>
      </c>
      <c r="O291" s="78"/>
      <c r="P291" s="78"/>
      <c r="Q291" s="78"/>
      <c r="R291" s="78">
        <v>9.7</v>
      </c>
      <c r="S291" s="78">
        <v>0.61</v>
      </c>
      <c r="T291" s="49" t="s">
        <v>142</v>
      </c>
      <c r="U291" s="85" t="s">
        <v>143</v>
      </c>
    </row>
    <row r="292" spans="1:21" ht="85.5">
      <c r="A292" s="77">
        <v>6</v>
      </c>
      <c r="B292" s="79" t="s">
        <v>157</v>
      </c>
      <c r="C292" s="77" t="s">
        <v>17</v>
      </c>
      <c r="D292" s="46" t="s">
        <v>1570</v>
      </c>
      <c r="E292" s="204"/>
      <c r="F292" s="79" t="s">
        <v>159</v>
      </c>
      <c r="G292" s="47" t="s">
        <v>1538</v>
      </c>
      <c r="H292" s="80" t="s">
        <v>16</v>
      </c>
      <c r="I292" s="47"/>
      <c r="J292" s="78">
        <v>0.5</v>
      </c>
      <c r="K292" s="192"/>
      <c r="L292" s="48"/>
      <c r="M292" s="48"/>
      <c r="N292" s="193"/>
      <c r="O292" s="78"/>
      <c r="P292" s="78"/>
      <c r="Q292" s="78"/>
      <c r="R292" s="78">
        <v>9.96</v>
      </c>
      <c r="S292" s="78">
        <v>0.5</v>
      </c>
      <c r="T292" s="49" t="s">
        <v>142</v>
      </c>
      <c r="U292" s="85" t="s">
        <v>143</v>
      </c>
    </row>
    <row r="293" spans="1:21" ht="57">
      <c r="A293" s="77">
        <v>6</v>
      </c>
      <c r="B293" s="79" t="s">
        <v>157</v>
      </c>
      <c r="C293" s="77" t="s">
        <v>17</v>
      </c>
      <c r="D293" s="46" t="s">
        <v>1571</v>
      </c>
      <c r="E293" s="204"/>
      <c r="F293" s="79" t="s">
        <v>159</v>
      </c>
      <c r="G293" s="47" t="s">
        <v>1542</v>
      </c>
      <c r="H293" s="80" t="s">
        <v>16</v>
      </c>
      <c r="I293" s="47"/>
      <c r="J293" s="78">
        <v>0.6</v>
      </c>
      <c r="K293" s="192"/>
      <c r="L293" s="48"/>
      <c r="M293" s="48"/>
      <c r="N293" s="193"/>
      <c r="O293" s="78"/>
      <c r="P293" s="78"/>
      <c r="Q293" s="78"/>
      <c r="R293" s="78">
        <v>10.42</v>
      </c>
      <c r="S293" s="78">
        <v>0.6</v>
      </c>
      <c r="T293" s="49" t="s">
        <v>142</v>
      </c>
      <c r="U293" s="85" t="s">
        <v>143</v>
      </c>
    </row>
    <row r="294" spans="1:21" ht="71.25">
      <c r="A294" s="77">
        <v>7</v>
      </c>
      <c r="B294" s="79" t="s">
        <v>157</v>
      </c>
      <c r="C294" s="77" t="s">
        <v>17</v>
      </c>
      <c r="D294" s="46" t="s">
        <v>1572</v>
      </c>
      <c r="E294" s="204"/>
      <c r="F294" s="79" t="s">
        <v>159</v>
      </c>
      <c r="G294" s="47" t="s">
        <v>1542</v>
      </c>
      <c r="H294" s="80" t="s">
        <v>16</v>
      </c>
      <c r="I294" s="47"/>
      <c r="J294" s="78">
        <v>0.61</v>
      </c>
      <c r="K294" s="192"/>
      <c r="L294" s="48"/>
      <c r="M294" s="48"/>
      <c r="N294" s="193"/>
      <c r="O294" s="78"/>
      <c r="P294" s="78"/>
      <c r="Q294" s="78"/>
      <c r="R294" s="78">
        <v>12.33</v>
      </c>
      <c r="S294" s="78">
        <v>0.61</v>
      </c>
      <c r="T294" s="49" t="s">
        <v>142</v>
      </c>
      <c r="U294" s="85" t="s">
        <v>143</v>
      </c>
    </row>
    <row r="295" spans="1:21" ht="42.75">
      <c r="A295" s="77">
        <v>2</v>
      </c>
      <c r="B295" s="79" t="s">
        <v>157</v>
      </c>
      <c r="C295" s="77" t="s">
        <v>17</v>
      </c>
      <c r="D295" s="46" t="s">
        <v>1573</v>
      </c>
      <c r="E295" s="204"/>
      <c r="F295" s="79" t="s">
        <v>159</v>
      </c>
      <c r="G295" s="47" t="s">
        <v>1563</v>
      </c>
      <c r="H295" s="80" t="s">
        <v>16</v>
      </c>
      <c r="I295" s="47"/>
      <c r="J295" s="78">
        <v>3.8</v>
      </c>
      <c r="K295" s="192"/>
      <c r="L295" s="48"/>
      <c r="M295" s="48"/>
      <c r="N295" s="193"/>
      <c r="O295" s="78"/>
      <c r="P295" s="78"/>
      <c r="Q295" s="78"/>
      <c r="R295" s="78">
        <v>59.57</v>
      </c>
      <c r="S295" s="78">
        <v>3.8</v>
      </c>
      <c r="T295" s="49" t="s">
        <v>142</v>
      </c>
      <c r="U295" s="85" t="s">
        <v>143</v>
      </c>
    </row>
    <row r="296" spans="1:21" ht="57">
      <c r="A296" s="77">
        <v>8</v>
      </c>
      <c r="B296" s="79" t="s">
        <v>157</v>
      </c>
      <c r="C296" s="77" t="s">
        <v>17</v>
      </c>
      <c r="D296" s="46" t="s">
        <v>1574</v>
      </c>
      <c r="E296" s="204" t="s">
        <v>1575</v>
      </c>
      <c r="F296" s="79" t="s">
        <v>159</v>
      </c>
      <c r="G296" s="47" t="s">
        <v>1542</v>
      </c>
      <c r="H296" s="80" t="s">
        <v>16</v>
      </c>
      <c r="I296" s="47"/>
      <c r="J296" s="78">
        <v>1.65</v>
      </c>
      <c r="K296" s="192">
        <v>129.05</v>
      </c>
      <c r="L296" s="48"/>
      <c r="M296" s="48"/>
      <c r="N296" s="193" t="s">
        <v>1561</v>
      </c>
      <c r="O296" s="78"/>
      <c r="P296" s="78"/>
      <c r="Q296" s="78"/>
      <c r="R296" s="78">
        <v>34.2</v>
      </c>
      <c r="S296" s="78">
        <v>1.65</v>
      </c>
      <c r="T296" s="49" t="s">
        <v>142</v>
      </c>
      <c r="U296" s="85" t="s">
        <v>143</v>
      </c>
    </row>
    <row r="297" spans="1:21" ht="71.25">
      <c r="A297" s="77">
        <v>1</v>
      </c>
      <c r="B297" s="79" t="s">
        <v>157</v>
      </c>
      <c r="C297" s="77" t="s">
        <v>17</v>
      </c>
      <c r="D297" s="46" t="s">
        <v>1576</v>
      </c>
      <c r="E297" s="204"/>
      <c r="F297" s="79" t="s">
        <v>159</v>
      </c>
      <c r="G297" s="47" t="s">
        <v>1577</v>
      </c>
      <c r="H297" s="80" t="s">
        <v>16</v>
      </c>
      <c r="I297" s="47"/>
      <c r="J297" s="78">
        <v>1.23</v>
      </c>
      <c r="K297" s="192"/>
      <c r="L297" s="48"/>
      <c r="M297" s="48"/>
      <c r="N297" s="193"/>
      <c r="O297" s="78"/>
      <c r="P297" s="78"/>
      <c r="Q297" s="78"/>
      <c r="R297" s="78">
        <v>22.12</v>
      </c>
      <c r="S297" s="78">
        <v>1.23</v>
      </c>
      <c r="T297" s="49" t="s">
        <v>142</v>
      </c>
      <c r="U297" s="85" t="s">
        <v>143</v>
      </c>
    </row>
    <row r="298" spans="1:21" ht="57">
      <c r="A298" s="77">
        <v>1</v>
      </c>
      <c r="B298" s="79" t="s">
        <v>157</v>
      </c>
      <c r="C298" s="77" t="s">
        <v>17</v>
      </c>
      <c r="D298" s="46" t="s">
        <v>1578</v>
      </c>
      <c r="E298" s="204"/>
      <c r="F298" s="79" t="s">
        <v>159</v>
      </c>
      <c r="G298" s="47" t="s">
        <v>1579</v>
      </c>
      <c r="H298" s="80" t="s">
        <v>16</v>
      </c>
      <c r="I298" s="47"/>
      <c r="J298" s="78">
        <v>1</v>
      </c>
      <c r="K298" s="192"/>
      <c r="L298" s="48"/>
      <c r="M298" s="48"/>
      <c r="N298" s="193"/>
      <c r="O298" s="78"/>
      <c r="P298" s="78"/>
      <c r="Q298" s="78"/>
      <c r="R298" s="78">
        <v>14.45</v>
      </c>
      <c r="S298" s="78">
        <v>1</v>
      </c>
      <c r="T298" s="49" t="s">
        <v>142</v>
      </c>
      <c r="U298" s="85" t="s">
        <v>143</v>
      </c>
    </row>
    <row r="299" spans="1:21" ht="57">
      <c r="A299" s="77">
        <v>9</v>
      </c>
      <c r="B299" s="79" t="s">
        <v>157</v>
      </c>
      <c r="C299" s="77" t="s">
        <v>17</v>
      </c>
      <c r="D299" s="46" t="s">
        <v>1580</v>
      </c>
      <c r="E299" s="204"/>
      <c r="F299" s="79" t="s">
        <v>159</v>
      </c>
      <c r="G299" s="47" t="s">
        <v>1542</v>
      </c>
      <c r="H299" s="80" t="s">
        <v>16</v>
      </c>
      <c r="I299" s="47"/>
      <c r="J299" s="78">
        <v>0.9</v>
      </c>
      <c r="K299" s="192"/>
      <c r="L299" s="48"/>
      <c r="M299" s="48"/>
      <c r="N299" s="193"/>
      <c r="O299" s="78"/>
      <c r="P299" s="78"/>
      <c r="Q299" s="78"/>
      <c r="R299" s="78">
        <v>15.19</v>
      </c>
      <c r="S299" s="78">
        <v>0.9</v>
      </c>
      <c r="T299" s="49" t="s">
        <v>142</v>
      </c>
      <c r="U299" s="85" t="s">
        <v>143</v>
      </c>
    </row>
    <row r="300" spans="1:21" ht="71.25">
      <c r="A300" s="77">
        <v>10</v>
      </c>
      <c r="B300" s="79" t="s">
        <v>157</v>
      </c>
      <c r="C300" s="77" t="s">
        <v>17</v>
      </c>
      <c r="D300" s="46" t="s">
        <v>1581</v>
      </c>
      <c r="E300" s="204"/>
      <c r="F300" s="79" t="s">
        <v>159</v>
      </c>
      <c r="G300" s="47" t="s">
        <v>1542</v>
      </c>
      <c r="H300" s="80" t="s">
        <v>16</v>
      </c>
      <c r="I300" s="47"/>
      <c r="J300" s="78">
        <v>1.43</v>
      </c>
      <c r="K300" s="192"/>
      <c r="L300" s="48"/>
      <c r="M300" s="48"/>
      <c r="N300" s="193"/>
      <c r="O300" s="78"/>
      <c r="P300" s="78"/>
      <c r="Q300" s="78"/>
      <c r="R300" s="78">
        <v>24.28</v>
      </c>
      <c r="S300" s="78">
        <v>1.43</v>
      </c>
      <c r="T300" s="49" t="s">
        <v>142</v>
      </c>
      <c r="U300" s="85" t="s">
        <v>143</v>
      </c>
    </row>
    <row r="301" spans="1:21" ht="57">
      <c r="A301" s="77">
        <v>1</v>
      </c>
      <c r="B301" s="79" t="s">
        <v>157</v>
      </c>
      <c r="C301" s="77" t="s">
        <v>17</v>
      </c>
      <c r="D301" s="46" t="s">
        <v>1582</v>
      </c>
      <c r="E301" s="204" t="s">
        <v>1583</v>
      </c>
      <c r="F301" s="79" t="s">
        <v>159</v>
      </c>
      <c r="G301" s="47" t="s">
        <v>1584</v>
      </c>
      <c r="H301" s="80" t="s">
        <v>16</v>
      </c>
      <c r="I301" s="47"/>
      <c r="J301" s="78">
        <v>4</v>
      </c>
      <c r="K301" s="192">
        <v>167.4</v>
      </c>
      <c r="L301" s="48"/>
      <c r="M301" s="48"/>
      <c r="N301" s="193" t="s">
        <v>1561</v>
      </c>
      <c r="O301" s="78"/>
      <c r="P301" s="78"/>
      <c r="Q301" s="78"/>
      <c r="R301" s="78">
        <v>64.85</v>
      </c>
      <c r="S301" s="78">
        <v>4</v>
      </c>
      <c r="T301" s="49" t="s">
        <v>142</v>
      </c>
      <c r="U301" s="85" t="s">
        <v>143</v>
      </c>
    </row>
    <row r="302" spans="1:21" ht="71.25">
      <c r="A302" s="77">
        <v>2</v>
      </c>
      <c r="B302" s="79" t="s">
        <v>157</v>
      </c>
      <c r="C302" s="77" t="s">
        <v>17</v>
      </c>
      <c r="D302" s="46" t="s">
        <v>1585</v>
      </c>
      <c r="E302" s="204"/>
      <c r="F302" s="79" t="s">
        <v>159</v>
      </c>
      <c r="G302" s="47" t="s">
        <v>1577</v>
      </c>
      <c r="H302" s="80" t="s">
        <v>16</v>
      </c>
      <c r="I302" s="47"/>
      <c r="J302" s="78">
        <v>3.15</v>
      </c>
      <c r="K302" s="192"/>
      <c r="L302" s="48"/>
      <c r="M302" s="48"/>
      <c r="N302" s="193"/>
      <c r="O302" s="78"/>
      <c r="P302" s="78"/>
      <c r="Q302" s="78"/>
      <c r="R302" s="78">
        <v>55.37</v>
      </c>
      <c r="S302" s="78">
        <v>3.15</v>
      </c>
      <c r="T302" s="49" t="s">
        <v>142</v>
      </c>
      <c r="U302" s="85" t="s">
        <v>143</v>
      </c>
    </row>
    <row r="303" spans="1:21" ht="71.25">
      <c r="A303" s="77">
        <v>2</v>
      </c>
      <c r="B303" s="79" t="s">
        <v>157</v>
      </c>
      <c r="C303" s="77" t="s">
        <v>17</v>
      </c>
      <c r="D303" s="46" t="s">
        <v>1586</v>
      </c>
      <c r="E303" s="204"/>
      <c r="F303" s="79" t="s">
        <v>159</v>
      </c>
      <c r="G303" s="47" t="s">
        <v>1584</v>
      </c>
      <c r="H303" s="80" t="s">
        <v>16</v>
      </c>
      <c r="I303" s="47"/>
      <c r="J303" s="78">
        <v>1.2</v>
      </c>
      <c r="K303" s="192"/>
      <c r="L303" s="48"/>
      <c r="M303" s="48"/>
      <c r="N303" s="193"/>
      <c r="O303" s="78"/>
      <c r="P303" s="78"/>
      <c r="Q303" s="78"/>
      <c r="R303" s="78">
        <v>16.47</v>
      </c>
      <c r="S303" s="78">
        <v>1.2</v>
      </c>
      <c r="T303" s="49" t="s">
        <v>142</v>
      </c>
      <c r="U303" s="85" t="s">
        <v>143</v>
      </c>
    </row>
    <row r="304" spans="1:21" ht="210">
      <c r="A304" s="77">
        <v>3</v>
      </c>
      <c r="B304" s="79" t="s">
        <v>202</v>
      </c>
      <c r="C304" s="77" t="s">
        <v>17</v>
      </c>
      <c r="D304" s="37" t="s">
        <v>1587</v>
      </c>
      <c r="E304" s="204" t="s">
        <v>1537</v>
      </c>
      <c r="F304" s="79" t="s">
        <v>138</v>
      </c>
      <c r="G304" s="79" t="s">
        <v>1577</v>
      </c>
      <c r="H304" s="79" t="s">
        <v>16</v>
      </c>
      <c r="I304" s="183" t="s">
        <v>864</v>
      </c>
      <c r="J304" s="80">
        <v>1</v>
      </c>
      <c r="K304" s="80">
        <v>31.11</v>
      </c>
      <c r="L304" s="208" t="s">
        <v>1588</v>
      </c>
      <c r="M304" s="208" t="s">
        <v>1589</v>
      </c>
      <c r="N304" s="80" t="s">
        <v>1590</v>
      </c>
      <c r="O304" s="80">
        <v>28.77</v>
      </c>
      <c r="P304" s="80"/>
      <c r="Q304" s="80">
        <f>SUM(O304:P304)</f>
        <v>28.77</v>
      </c>
      <c r="R304" s="80">
        <v>28.83</v>
      </c>
      <c r="S304" s="80">
        <v>1</v>
      </c>
      <c r="T304" s="85" t="s">
        <v>142</v>
      </c>
      <c r="U304" s="85" t="s">
        <v>1188</v>
      </c>
    </row>
    <row r="305" spans="1:21" ht="195">
      <c r="A305" s="77">
        <v>4</v>
      </c>
      <c r="B305" s="79" t="s">
        <v>202</v>
      </c>
      <c r="C305" s="77" t="s">
        <v>17</v>
      </c>
      <c r="D305" s="37" t="s">
        <v>1591</v>
      </c>
      <c r="E305" s="204"/>
      <c r="F305" s="79" t="s">
        <v>138</v>
      </c>
      <c r="G305" s="79" t="s">
        <v>1577</v>
      </c>
      <c r="H305" s="79" t="s">
        <v>16</v>
      </c>
      <c r="I305" s="183"/>
      <c r="J305" s="80" t="s">
        <v>141</v>
      </c>
      <c r="K305" s="80">
        <v>31.74</v>
      </c>
      <c r="L305" s="208"/>
      <c r="M305" s="208"/>
      <c r="N305" s="80" t="s">
        <v>1592</v>
      </c>
      <c r="O305" s="80">
        <v>29.35</v>
      </c>
      <c r="P305" s="80"/>
      <c r="Q305" s="80">
        <f aca="true" t="shared" si="15" ref="Q305:Q319">SUM(O305:P305)</f>
        <v>29.35</v>
      </c>
      <c r="R305" s="80">
        <v>28.29</v>
      </c>
      <c r="S305" s="80" t="s">
        <v>141</v>
      </c>
      <c r="T305" s="85" t="s">
        <v>142</v>
      </c>
      <c r="U305" s="85" t="s">
        <v>1188</v>
      </c>
    </row>
    <row r="306" spans="1:21" ht="150">
      <c r="A306" s="77">
        <v>11</v>
      </c>
      <c r="B306" s="79" t="s">
        <v>202</v>
      </c>
      <c r="C306" s="77" t="s">
        <v>17</v>
      </c>
      <c r="D306" s="37" t="s">
        <v>1593</v>
      </c>
      <c r="E306" s="204"/>
      <c r="F306" s="79" t="s">
        <v>138</v>
      </c>
      <c r="G306" s="79" t="s">
        <v>1542</v>
      </c>
      <c r="H306" s="79" t="s">
        <v>16</v>
      </c>
      <c r="I306" s="183"/>
      <c r="J306" s="80">
        <v>3</v>
      </c>
      <c r="K306" s="80">
        <v>63.72</v>
      </c>
      <c r="L306" s="208"/>
      <c r="M306" s="208"/>
      <c r="N306" s="80" t="s">
        <v>1590</v>
      </c>
      <c r="O306" s="80">
        <v>58.94</v>
      </c>
      <c r="P306" s="80"/>
      <c r="Q306" s="80">
        <f t="shared" si="15"/>
        <v>58.94</v>
      </c>
      <c r="R306" s="80">
        <v>55.04</v>
      </c>
      <c r="S306" s="80">
        <v>3</v>
      </c>
      <c r="T306" s="85" t="s">
        <v>142</v>
      </c>
      <c r="U306" s="85" t="s">
        <v>1188</v>
      </c>
    </row>
    <row r="307" spans="1:21" ht="180">
      <c r="A307" s="77">
        <v>7</v>
      </c>
      <c r="B307" s="79" t="s">
        <v>202</v>
      </c>
      <c r="C307" s="77" t="s">
        <v>17</v>
      </c>
      <c r="D307" s="37" t="s">
        <v>1594</v>
      </c>
      <c r="E307" s="204"/>
      <c r="F307" s="79" t="s">
        <v>138</v>
      </c>
      <c r="G307" s="79" t="s">
        <v>1538</v>
      </c>
      <c r="H307" s="79" t="s">
        <v>16</v>
      </c>
      <c r="I307" s="183"/>
      <c r="J307" s="80">
        <v>1</v>
      </c>
      <c r="K307" s="80">
        <v>20.74</v>
      </c>
      <c r="L307" s="208"/>
      <c r="M307" s="208"/>
      <c r="N307" s="80" t="s">
        <v>1590</v>
      </c>
      <c r="O307" s="80">
        <v>19.18</v>
      </c>
      <c r="P307" s="80"/>
      <c r="Q307" s="80">
        <f t="shared" si="15"/>
        <v>19.18</v>
      </c>
      <c r="R307" s="80">
        <v>28.12</v>
      </c>
      <c r="S307" s="80">
        <v>1</v>
      </c>
      <c r="T307" s="85" t="s">
        <v>142</v>
      </c>
      <c r="U307" s="85" t="s">
        <v>1188</v>
      </c>
    </row>
    <row r="308" spans="1:21" ht="75">
      <c r="A308" s="77">
        <v>3</v>
      </c>
      <c r="B308" s="79" t="s">
        <v>202</v>
      </c>
      <c r="C308" s="77" t="s">
        <v>17</v>
      </c>
      <c r="D308" s="37" t="s">
        <v>1595</v>
      </c>
      <c r="E308" s="204" t="s">
        <v>1548</v>
      </c>
      <c r="F308" s="79" t="s">
        <v>138</v>
      </c>
      <c r="G308" s="79" t="s">
        <v>1563</v>
      </c>
      <c r="H308" s="79" t="s">
        <v>16</v>
      </c>
      <c r="I308" s="183" t="s">
        <v>831</v>
      </c>
      <c r="J308" s="80">
        <v>0.97</v>
      </c>
      <c r="K308" s="80">
        <v>18.7</v>
      </c>
      <c r="L308" s="208" t="s">
        <v>1596</v>
      </c>
      <c r="M308" s="183" t="s">
        <v>1597</v>
      </c>
      <c r="N308" s="80" t="s">
        <v>841</v>
      </c>
      <c r="O308" s="80">
        <v>17.03</v>
      </c>
      <c r="P308" s="80"/>
      <c r="Q308" s="80">
        <f t="shared" si="15"/>
        <v>17.03</v>
      </c>
      <c r="R308" s="80">
        <v>16.39</v>
      </c>
      <c r="S308" s="80">
        <v>0.97</v>
      </c>
      <c r="T308" s="85" t="s">
        <v>142</v>
      </c>
      <c r="U308" s="85" t="s">
        <v>1188</v>
      </c>
    </row>
    <row r="309" spans="1:21" ht="75">
      <c r="A309" s="77">
        <v>4</v>
      </c>
      <c r="B309" s="79" t="s">
        <v>202</v>
      </c>
      <c r="C309" s="77" t="s">
        <v>17</v>
      </c>
      <c r="D309" s="37" t="s">
        <v>1598</v>
      </c>
      <c r="E309" s="204"/>
      <c r="F309" s="79" t="s">
        <v>138</v>
      </c>
      <c r="G309" s="79" t="s">
        <v>1563</v>
      </c>
      <c r="H309" s="79" t="s">
        <v>16</v>
      </c>
      <c r="I309" s="183"/>
      <c r="J309" s="80">
        <v>1.6</v>
      </c>
      <c r="K309" s="80">
        <v>30.55</v>
      </c>
      <c r="L309" s="208"/>
      <c r="M309" s="208"/>
      <c r="N309" s="80" t="s">
        <v>841</v>
      </c>
      <c r="O309" s="80">
        <v>27.83</v>
      </c>
      <c r="P309" s="80"/>
      <c r="Q309" s="80">
        <f t="shared" si="15"/>
        <v>27.83</v>
      </c>
      <c r="R309" s="80">
        <v>24.29</v>
      </c>
      <c r="S309" s="80">
        <v>1.6</v>
      </c>
      <c r="T309" s="85" t="s">
        <v>142</v>
      </c>
      <c r="U309" s="85" t="s">
        <v>1188</v>
      </c>
    </row>
    <row r="310" spans="1:21" ht="135">
      <c r="A310" s="77">
        <v>12</v>
      </c>
      <c r="B310" s="79" t="s">
        <v>202</v>
      </c>
      <c r="C310" s="77" t="s">
        <v>17</v>
      </c>
      <c r="D310" s="37" t="s">
        <v>1599</v>
      </c>
      <c r="E310" s="204"/>
      <c r="F310" s="79" t="s">
        <v>138</v>
      </c>
      <c r="G310" s="79" t="s">
        <v>1542</v>
      </c>
      <c r="H310" s="79" t="s">
        <v>16</v>
      </c>
      <c r="I310" s="183"/>
      <c r="J310" s="80">
        <v>1.075</v>
      </c>
      <c r="K310" s="80">
        <v>24.22</v>
      </c>
      <c r="L310" s="208"/>
      <c r="M310" s="208"/>
      <c r="N310" s="80" t="s">
        <v>1592</v>
      </c>
      <c r="O310" s="80">
        <v>22.06</v>
      </c>
      <c r="P310" s="80"/>
      <c r="Q310" s="80">
        <f t="shared" si="15"/>
        <v>22.06</v>
      </c>
      <c r="R310" s="80">
        <v>19.06</v>
      </c>
      <c r="S310" s="80">
        <v>1.075</v>
      </c>
      <c r="T310" s="85" t="s">
        <v>142</v>
      </c>
      <c r="U310" s="85" t="s">
        <v>1188</v>
      </c>
    </row>
    <row r="311" spans="1:21" ht="105">
      <c r="A311" s="77">
        <v>13</v>
      </c>
      <c r="B311" s="79" t="s">
        <v>202</v>
      </c>
      <c r="C311" s="77" t="s">
        <v>17</v>
      </c>
      <c r="D311" s="37" t="s">
        <v>1600</v>
      </c>
      <c r="E311" s="204"/>
      <c r="F311" s="79" t="s">
        <v>138</v>
      </c>
      <c r="G311" s="79" t="s">
        <v>1542</v>
      </c>
      <c r="H311" s="79" t="s">
        <v>16</v>
      </c>
      <c r="I311" s="183"/>
      <c r="J311" s="80">
        <v>1.65</v>
      </c>
      <c r="K311" s="80">
        <v>33.49</v>
      </c>
      <c r="L311" s="208"/>
      <c r="M311" s="208"/>
      <c r="N311" s="80" t="s">
        <v>841</v>
      </c>
      <c r="O311" s="80">
        <v>30.5</v>
      </c>
      <c r="P311" s="80"/>
      <c r="Q311" s="80">
        <f t="shared" si="15"/>
        <v>30.5</v>
      </c>
      <c r="R311" s="80">
        <v>30.63</v>
      </c>
      <c r="S311" s="80">
        <v>1.65</v>
      </c>
      <c r="T311" s="85" t="s">
        <v>142</v>
      </c>
      <c r="U311" s="85" t="s">
        <v>1188</v>
      </c>
    </row>
    <row r="312" spans="1:21" ht="195">
      <c r="A312" s="77">
        <v>2</v>
      </c>
      <c r="B312" s="79" t="s">
        <v>202</v>
      </c>
      <c r="C312" s="77" t="s">
        <v>17</v>
      </c>
      <c r="D312" s="37" t="s">
        <v>1601</v>
      </c>
      <c r="E312" s="204" t="s">
        <v>1557</v>
      </c>
      <c r="F312" s="79" t="s">
        <v>138</v>
      </c>
      <c r="G312" s="79" t="s">
        <v>1546</v>
      </c>
      <c r="H312" s="79" t="s">
        <v>16</v>
      </c>
      <c r="I312" s="183" t="s">
        <v>864</v>
      </c>
      <c r="J312" s="80">
        <v>2</v>
      </c>
      <c r="K312" s="80">
        <v>39.86</v>
      </c>
      <c r="L312" s="208" t="s">
        <v>1382</v>
      </c>
      <c r="M312" s="208" t="s">
        <v>1602</v>
      </c>
      <c r="N312" s="80" t="s">
        <v>543</v>
      </c>
      <c r="O312" s="80">
        <v>40.04</v>
      </c>
      <c r="P312" s="80"/>
      <c r="Q312" s="80">
        <f t="shared" si="15"/>
        <v>40.04</v>
      </c>
      <c r="R312" s="80">
        <v>80.93</v>
      </c>
      <c r="S312" s="80">
        <v>2</v>
      </c>
      <c r="T312" s="85" t="s">
        <v>142</v>
      </c>
      <c r="U312" s="85" t="s">
        <v>1188</v>
      </c>
    </row>
    <row r="313" spans="1:21" ht="105">
      <c r="A313" s="77">
        <v>5</v>
      </c>
      <c r="B313" s="79" t="s">
        <v>202</v>
      </c>
      <c r="C313" s="77" t="s">
        <v>17</v>
      </c>
      <c r="D313" s="37" t="s">
        <v>1603</v>
      </c>
      <c r="E313" s="204"/>
      <c r="F313" s="79" t="s">
        <v>138</v>
      </c>
      <c r="G313" s="79" t="s">
        <v>1563</v>
      </c>
      <c r="H313" s="79" t="s">
        <v>16</v>
      </c>
      <c r="I313" s="183"/>
      <c r="J313" s="80">
        <v>1</v>
      </c>
      <c r="K313" s="80">
        <v>20.6</v>
      </c>
      <c r="L313" s="208"/>
      <c r="M313" s="208"/>
      <c r="N313" s="80" t="s">
        <v>543</v>
      </c>
      <c r="O313" s="80">
        <v>22.25</v>
      </c>
      <c r="P313" s="80"/>
      <c r="Q313" s="80">
        <f t="shared" si="15"/>
        <v>22.25</v>
      </c>
      <c r="R313" s="80">
        <v>16.67</v>
      </c>
      <c r="S313" s="80">
        <v>1</v>
      </c>
      <c r="T313" s="85" t="s">
        <v>142</v>
      </c>
      <c r="U313" s="85" t="s">
        <v>1188</v>
      </c>
    </row>
    <row r="314" spans="1:21" ht="90">
      <c r="A314" s="77">
        <v>6</v>
      </c>
      <c r="B314" s="79" t="s">
        <v>202</v>
      </c>
      <c r="C314" s="77" t="s">
        <v>17</v>
      </c>
      <c r="D314" s="37" t="s">
        <v>1604</v>
      </c>
      <c r="E314" s="204"/>
      <c r="F314" s="79" t="s">
        <v>138</v>
      </c>
      <c r="G314" s="79" t="s">
        <v>1563</v>
      </c>
      <c r="H314" s="79" t="s">
        <v>16</v>
      </c>
      <c r="I314" s="183"/>
      <c r="J314" s="80">
        <v>0.85</v>
      </c>
      <c r="K314" s="80">
        <v>33.81</v>
      </c>
      <c r="L314" s="208"/>
      <c r="M314" s="208"/>
      <c r="N314" s="80" t="s">
        <v>543</v>
      </c>
      <c r="O314" s="80">
        <v>39.51</v>
      </c>
      <c r="P314" s="80"/>
      <c r="Q314" s="80">
        <f>SUM(O314:P314)</f>
        <v>39.51</v>
      </c>
      <c r="R314" s="80">
        <v>41.16</v>
      </c>
      <c r="S314" s="80">
        <v>0.85</v>
      </c>
      <c r="T314" s="85" t="s">
        <v>142</v>
      </c>
      <c r="U314" s="85" t="s">
        <v>1188</v>
      </c>
    </row>
    <row r="315" spans="1:21" ht="150">
      <c r="A315" s="77">
        <v>6</v>
      </c>
      <c r="B315" s="79" t="s">
        <v>202</v>
      </c>
      <c r="C315" s="77" t="s">
        <v>17</v>
      </c>
      <c r="D315" s="37" t="s">
        <v>1605</v>
      </c>
      <c r="E315" s="204"/>
      <c r="F315" s="79" t="s">
        <v>138</v>
      </c>
      <c r="G315" s="79" t="s">
        <v>1551</v>
      </c>
      <c r="H315" s="79" t="s">
        <v>16</v>
      </c>
      <c r="I315" s="183"/>
      <c r="J315" s="80">
        <v>2.25</v>
      </c>
      <c r="K315" s="80">
        <v>43.18</v>
      </c>
      <c r="L315" s="208"/>
      <c r="M315" s="208"/>
      <c r="N315" s="80" t="s">
        <v>543</v>
      </c>
      <c r="O315" s="80">
        <v>46.63</v>
      </c>
      <c r="P315" s="80"/>
      <c r="Q315" s="80">
        <f t="shared" si="15"/>
        <v>46.63</v>
      </c>
      <c r="R315" s="80">
        <v>49.6</v>
      </c>
      <c r="S315" s="80">
        <v>2.25</v>
      </c>
      <c r="T315" s="85" t="s">
        <v>142</v>
      </c>
      <c r="U315" s="85" t="s">
        <v>1188</v>
      </c>
    </row>
    <row r="316" spans="1:21" ht="195">
      <c r="A316" s="77">
        <v>3</v>
      </c>
      <c r="B316" s="79" t="s">
        <v>202</v>
      </c>
      <c r="C316" s="77" t="s">
        <v>17</v>
      </c>
      <c r="D316" s="37" t="s">
        <v>1606</v>
      </c>
      <c r="E316" s="204" t="s">
        <v>1575</v>
      </c>
      <c r="F316" s="79" t="s">
        <v>138</v>
      </c>
      <c r="G316" s="79" t="s">
        <v>1546</v>
      </c>
      <c r="H316" s="79" t="s">
        <v>16</v>
      </c>
      <c r="I316" s="183" t="s">
        <v>1607</v>
      </c>
      <c r="J316" s="80">
        <v>4</v>
      </c>
      <c r="K316" s="80">
        <v>96.34</v>
      </c>
      <c r="L316" s="208" t="s">
        <v>1588</v>
      </c>
      <c r="M316" s="208" t="s">
        <v>1589</v>
      </c>
      <c r="N316" s="80" t="s">
        <v>1191</v>
      </c>
      <c r="O316" s="80">
        <v>86.51</v>
      </c>
      <c r="P316" s="80"/>
      <c r="Q316" s="80">
        <f t="shared" si="15"/>
        <v>86.51</v>
      </c>
      <c r="R316" s="80">
        <v>86.22</v>
      </c>
      <c r="S316" s="80">
        <v>4</v>
      </c>
      <c r="T316" s="85" t="s">
        <v>142</v>
      </c>
      <c r="U316" s="85" t="s">
        <v>1188</v>
      </c>
    </row>
    <row r="317" spans="1:21" ht="135">
      <c r="A317" s="77">
        <v>4</v>
      </c>
      <c r="B317" s="79" t="s">
        <v>202</v>
      </c>
      <c r="C317" s="77" t="s">
        <v>17</v>
      </c>
      <c r="D317" s="37" t="s">
        <v>1608</v>
      </c>
      <c r="E317" s="204"/>
      <c r="F317" s="79" t="s">
        <v>138</v>
      </c>
      <c r="G317" s="79" t="s">
        <v>1546</v>
      </c>
      <c r="H317" s="79" t="s">
        <v>16</v>
      </c>
      <c r="I317" s="183"/>
      <c r="J317" s="80">
        <v>2.5</v>
      </c>
      <c r="K317" s="80">
        <v>58.46</v>
      </c>
      <c r="L317" s="208"/>
      <c r="M317" s="208"/>
      <c r="N317" s="80" t="s">
        <v>1191</v>
      </c>
      <c r="O317" s="80">
        <v>52.49</v>
      </c>
      <c r="P317" s="80"/>
      <c r="Q317" s="80">
        <f t="shared" si="15"/>
        <v>52.49</v>
      </c>
      <c r="R317" s="80">
        <v>55.13</v>
      </c>
      <c r="S317" s="80">
        <v>2.5</v>
      </c>
      <c r="T317" s="85" t="s">
        <v>142</v>
      </c>
      <c r="U317" s="85" t="s">
        <v>1188</v>
      </c>
    </row>
    <row r="318" spans="1:21" ht="150">
      <c r="A318" s="77">
        <v>5</v>
      </c>
      <c r="B318" s="79" t="s">
        <v>202</v>
      </c>
      <c r="C318" s="77" t="s">
        <v>17</v>
      </c>
      <c r="D318" s="37" t="s">
        <v>1609</v>
      </c>
      <c r="E318" s="204" t="s">
        <v>1583</v>
      </c>
      <c r="F318" s="79" t="s">
        <v>138</v>
      </c>
      <c r="G318" s="79" t="s">
        <v>1546</v>
      </c>
      <c r="H318" s="79" t="s">
        <v>16</v>
      </c>
      <c r="I318" s="183" t="s">
        <v>1607</v>
      </c>
      <c r="J318" s="80">
        <v>3.55</v>
      </c>
      <c r="K318" s="80">
        <v>80.01</v>
      </c>
      <c r="L318" s="208"/>
      <c r="M318" s="208"/>
      <c r="N318" s="80" t="s">
        <v>543</v>
      </c>
      <c r="O318" s="80">
        <v>73.85</v>
      </c>
      <c r="P318" s="80"/>
      <c r="Q318" s="80">
        <f t="shared" si="15"/>
        <v>73.85</v>
      </c>
      <c r="R318" s="80">
        <v>77.01</v>
      </c>
      <c r="S318" s="80">
        <v>3.55</v>
      </c>
      <c r="T318" s="85" t="s">
        <v>142</v>
      </c>
      <c r="U318" s="85" t="s">
        <v>1188</v>
      </c>
    </row>
    <row r="319" spans="1:21" ht="105">
      <c r="A319" s="77">
        <v>6</v>
      </c>
      <c r="B319" s="79" t="s">
        <v>202</v>
      </c>
      <c r="C319" s="77" t="s">
        <v>17</v>
      </c>
      <c r="D319" s="37" t="s">
        <v>1610</v>
      </c>
      <c r="E319" s="204"/>
      <c r="F319" s="79" t="s">
        <v>138</v>
      </c>
      <c r="G319" s="79" t="s">
        <v>1546</v>
      </c>
      <c r="H319" s="79" t="s">
        <v>16</v>
      </c>
      <c r="I319" s="183"/>
      <c r="J319" s="80">
        <v>2.8</v>
      </c>
      <c r="K319" s="80">
        <v>61.33</v>
      </c>
      <c r="L319" s="208"/>
      <c r="M319" s="208"/>
      <c r="N319" s="80" t="s">
        <v>543</v>
      </c>
      <c r="O319" s="80">
        <v>56.6</v>
      </c>
      <c r="P319" s="80">
        <v>12.41</v>
      </c>
      <c r="Q319" s="80">
        <f t="shared" si="15"/>
        <v>69.01</v>
      </c>
      <c r="R319" s="80">
        <v>75.45</v>
      </c>
      <c r="S319" s="80">
        <v>2.8</v>
      </c>
      <c r="T319" s="85" t="s">
        <v>142</v>
      </c>
      <c r="U319" s="85" t="s">
        <v>1188</v>
      </c>
    </row>
    <row r="320" spans="1:21" ht="171">
      <c r="A320" s="77">
        <v>8</v>
      </c>
      <c r="B320" s="79" t="s">
        <v>221</v>
      </c>
      <c r="C320" s="77" t="s">
        <v>17</v>
      </c>
      <c r="D320" s="36" t="s">
        <v>1611</v>
      </c>
      <c r="E320" s="51" t="s">
        <v>1537</v>
      </c>
      <c r="F320" s="79" t="s">
        <v>135</v>
      </c>
      <c r="G320" s="52" t="s">
        <v>1538</v>
      </c>
      <c r="H320" s="52" t="s">
        <v>16</v>
      </c>
      <c r="I320" s="79" t="s">
        <v>281</v>
      </c>
      <c r="J320" s="80">
        <v>2</v>
      </c>
      <c r="K320" s="80">
        <v>42.46</v>
      </c>
      <c r="L320" s="80" t="s">
        <v>1382</v>
      </c>
      <c r="M320" s="80" t="s">
        <v>1383</v>
      </c>
      <c r="N320" s="80" t="s">
        <v>841</v>
      </c>
      <c r="O320" s="80">
        <v>42.07</v>
      </c>
      <c r="P320" s="80"/>
      <c r="Q320" s="80">
        <f>SUM(O320:P320)</f>
        <v>42.07</v>
      </c>
      <c r="R320" s="80">
        <f>40.87+0</f>
        <v>40.87</v>
      </c>
      <c r="S320" s="80">
        <v>2</v>
      </c>
      <c r="T320" s="83" t="s">
        <v>142</v>
      </c>
      <c r="U320" s="85" t="s">
        <v>1188</v>
      </c>
    </row>
    <row r="321" spans="1:21" ht="85.5">
      <c r="A321" s="77">
        <v>1</v>
      </c>
      <c r="B321" s="79" t="s">
        <v>135</v>
      </c>
      <c r="C321" s="77" t="s">
        <v>18</v>
      </c>
      <c r="D321" s="36" t="s">
        <v>1648</v>
      </c>
      <c r="E321" s="77" t="s">
        <v>1649</v>
      </c>
      <c r="F321" s="79" t="s">
        <v>138</v>
      </c>
      <c r="G321" s="44" t="s">
        <v>18</v>
      </c>
      <c r="H321" s="80" t="s">
        <v>1650</v>
      </c>
      <c r="I321" s="90" t="s">
        <v>141</v>
      </c>
      <c r="J321" s="86">
        <v>8</v>
      </c>
      <c r="K321" s="86">
        <v>184.8</v>
      </c>
      <c r="L321" s="58"/>
      <c r="M321" s="58"/>
      <c r="N321" s="111"/>
      <c r="O321" s="86">
        <v>163.19</v>
      </c>
      <c r="P321" s="77"/>
      <c r="Q321" s="77"/>
      <c r="R321" s="86">
        <v>159.9</v>
      </c>
      <c r="S321" s="86">
        <v>8</v>
      </c>
      <c r="T321" s="85" t="s">
        <v>142</v>
      </c>
      <c r="U321" s="85" t="s">
        <v>143</v>
      </c>
    </row>
    <row r="322" spans="1:21" ht="85.5">
      <c r="A322" s="77">
        <v>2</v>
      </c>
      <c r="B322" s="79" t="s">
        <v>135</v>
      </c>
      <c r="C322" s="77" t="s">
        <v>18</v>
      </c>
      <c r="D322" s="36" t="s">
        <v>1651</v>
      </c>
      <c r="E322" s="181" t="s">
        <v>1652</v>
      </c>
      <c r="F322" s="79" t="s">
        <v>138</v>
      </c>
      <c r="G322" s="44" t="s">
        <v>18</v>
      </c>
      <c r="H322" s="80" t="s">
        <v>1650</v>
      </c>
      <c r="I322" s="90" t="s">
        <v>141</v>
      </c>
      <c r="J322" s="86">
        <v>3</v>
      </c>
      <c r="K322" s="86">
        <v>69.31</v>
      </c>
      <c r="L322" s="58"/>
      <c r="M322" s="58"/>
      <c r="N322" s="197"/>
      <c r="O322" s="194">
        <v>135.79</v>
      </c>
      <c r="P322" s="77"/>
      <c r="Q322" s="77"/>
      <c r="R322" s="194">
        <v>133.02</v>
      </c>
      <c r="S322" s="86">
        <v>3</v>
      </c>
      <c r="T322" s="85" t="s">
        <v>142</v>
      </c>
      <c r="U322" s="85" t="s">
        <v>143</v>
      </c>
    </row>
    <row r="323" spans="1:21" ht="85.5">
      <c r="A323" s="77">
        <v>3</v>
      </c>
      <c r="B323" s="79" t="s">
        <v>135</v>
      </c>
      <c r="C323" s="77" t="s">
        <v>18</v>
      </c>
      <c r="D323" s="36" t="s">
        <v>1653</v>
      </c>
      <c r="E323" s="181"/>
      <c r="F323" s="79" t="s">
        <v>138</v>
      </c>
      <c r="G323" s="44" t="s">
        <v>18</v>
      </c>
      <c r="H323" s="80" t="s">
        <v>1650</v>
      </c>
      <c r="I323" s="90" t="s">
        <v>141</v>
      </c>
      <c r="J323" s="86">
        <v>3</v>
      </c>
      <c r="K323" s="86">
        <v>69.31</v>
      </c>
      <c r="L323" s="58"/>
      <c r="M323" s="58"/>
      <c r="N323" s="183"/>
      <c r="O323" s="194"/>
      <c r="P323" s="77"/>
      <c r="Q323" s="77"/>
      <c r="R323" s="194"/>
      <c r="S323" s="86">
        <v>3</v>
      </c>
      <c r="T323" s="85" t="s">
        <v>142</v>
      </c>
      <c r="U323" s="85" t="s">
        <v>143</v>
      </c>
    </row>
    <row r="324" spans="1:21" ht="128.25">
      <c r="A324" s="77">
        <v>1</v>
      </c>
      <c r="B324" s="79" t="s">
        <v>135</v>
      </c>
      <c r="C324" s="77" t="s">
        <v>18</v>
      </c>
      <c r="D324" s="36" t="s">
        <v>1654</v>
      </c>
      <c r="E324" s="181" t="s">
        <v>1655</v>
      </c>
      <c r="F324" s="79" t="s">
        <v>138</v>
      </c>
      <c r="G324" s="44" t="s">
        <v>1656</v>
      </c>
      <c r="H324" s="80" t="s">
        <v>1650</v>
      </c>
      <c r="I324" s="90" t="s">
        <v>141</v>
      </c>
      <c r="J324" s="86">
        <v>5</v>
      </c>
      <c r="K324" s="194">
        <v>161.58</v>
      </c>
      <c r="L324" s="58"/>
      <c r="M324" s="58"/>
      <c r="N324" s="197"/>
      <c r="O324" s="194">
        <v>153.18</v>
      </c>
      <c r="P324" s="77"/>
      <c r="Q324" s="77"/>
      <c r="R324" s="194">
        <v>160.07</v>
      </c>
      <c r="S324" s="86">
        <v>5</v>
      </c>
      <c r="T324" s="85" t="s">
        <v>142</v>
      </c>
      <c r="U324" s="85" t="s">
        <v>143</v>
      </c>
    </row>
    <row r="325" spans="1:21" ht="85.5">
      <c r="A325" s="77">
        <v>2</v>
      </c>
      <c r="B325" s="79" t="s">
        <v>135</v>
      </c>
      <c r="C325" s="77" t="s">
        <v>18</v>
      </c>
      <c r="D325" s="36" t="s">
        <v>1657</v>
      </c>
      <c r="E325" s="181"/>
      <c r="F325" s="79" t="s">
        <v>138</v>
      </c>
      <c r="G325" s="44" t="s">
        <v>1656</v>
      </c>
      <c r="H325" s="80" t="s">
        <v>1650</v>
      </c>
      <c r="I325" s="90" t="s">
        <v>141</v>
      </c>
      <c r="J325" s="86">
        <v>2</v>
      </c>
      <c r="K325" s="194"/>
      <c r="L325" s="58"/>
      <c r="M325" s="58"/>
      <c r="N325" s="183"/>
      <c r="O325" s="194"/>
      <c r="P325" s="77"/>
      <c r="Q325" s="77"/>
      <c r="R325" s="194"/>
      <c r="S325" s="86">
        <v>2</v>
      </c>
      <c r="T325" s="85" t="s">
        <v>142</v>
      </c>
      <c r="U325" s="85" t="s">
        <v>143</v>
      </c>
    </row>
    <row r="326" spans="1:21" ht="99.75">
      <c r="A326" s="77">
        <v>1</v>
      </c>
      <c r="B326" s="79" t="s">
        <v>157</v>
      </c>
      <c r="C326" s="77" t="s">
        <v>18</v>
      </c>
      <c r="D326" s="46" t="s">
        <v>1658</v>
      </c>
      <c r="E326" s="84" t="s">
        <v>1649</v>
      </c>
      <c r="F326" s="79" t="s">
        <v>159</v>
      </c>
      <c r="G326" s="47" t="s">
        <v>1659</v>
      </c>
      <c r="H326" s="47" t="s">
        <v>1660</v>
      </c>
      <c r="I326" s="47"/>
      <c r="J326" s="78">
        <v>7.78</v>
      </c>
      <c r="K326" s="78">
        <v>188.86</v>
      </c>
      <c r="L326" s="48"/>
      <c r="M326" s="48"/>
      <c r="N326" s="87" t="s">
        <v>1661</v>
      </c>
      <c r="O326" s="78"/>
      <c r="P326" s="78"/>
      <c r="Q326" s="78"/>
      <c r="R326" s="78">
        <v>122.71</v>
      </c>
      <c r="S326" s="78">
        <v>7.78</v>
      </c>
      <c r="T326" s="49" t="s">
        <v>142</v>
      </c>
      <c r="U326" s="85" t="s">
        <v>143</v>
      </c>
    </row>
    <row r="327" spans="1:21" ht="114">
      <c r="A327" s="77">
        <v>2</v>
      </c>
      <c r="B327" s="79" t="s">
        <v>157</v>
      </c>
      <c r="C327" s="77" t="s">
        <v>18</v>
      </c>
      <c r="D327" s="46" t="s">
        <v>1662</v>
      </c>
      <c r="E327" s="84" t="s">
        <v>1652</v>
      </c>
      <c r="F327" s="79" t="s">
        <v>159</v>
      </c>
      <c r="G327" s="47" t="s">
        <v>1659</v>
      </c>
      <c r="H327" s="47" t="s">
        <v>1660</v>
      </c>
      <c r="I327" s="47"/>
      <c r="J327" s="78">
        <v>9</v>
      </c>
      <c r="K327" s="78">
        <v>351.14</v>
      </c>
      <c r="L327" s="48"/>
      <c r="M327" s="48"/>
      <c r="N327" s="87" t="s">
        <v>1663</v>
      </c>
      <c r="O327" s="78"/>
      <c r="P327" s="78"/>
      <c r="Q327" s="78"/>
      <c r="R327" s="78">
        <v>103.61</v>
      </c>
      <c r="S327" s="78">
        <v>9</v>
      </c>
      <c r="T327" s="49" t="s">
        <v>142</v>
      </c>
      <c r="U327" s="85" t="s">
        <v>143</v>
      </c>
    </row>
    <row r="328" spans="1:21" ht="71.25">
      <c r="A328" s="77">
        <v>3</v>
      </c>
      <c r="B328" s="79" t="s">
        <v>157</v>
      </c>
      <c r="C328" s="77" t="s">
        <v>18</v>
      </c>
      <c r="D328" s="46" t="s">
        <v>1664</v>
      </c>
      <c r="E328" s="84" t="s">
        <v>1655</v>
      </c>
      <c r="F328" s="79" t="s">
        <v>159</v>
      </c>
      <c r="G328" s="47" t="s">
        <v>1656</v>
      </c>
      <c r="H328" s="47" t="s">
        <v>1660</v>
      </c>
      <c r="I328" s="47"/>
      <c r="J328" s="78">
        <v>5.5</v>
      </c>
      <c r="K328" s="78">
        <v>122.77</v>
      </c>
      <c r="L328" s="48"/>
      <c r="M328" s="48"/>
      <c r="N328" s="87" t="s">
        <v>1665</v>
      </c>
      <c r="O328" s="78"/>
      <c r="P328" s="78"/>
      <c r="Q328" s="78"/>
      <c r="R328" s="78">
        <v>109.7</v>
      </c>
      <c r="S328" s="78">
        <v>5.5</v>
      </c>
      <c r="T328" s="49" t="s">
        <v>142</v>
      </c>
      <c r="U328" s="85" t="s">
        <v>143</v>
      </c>
    </row>
    <row r="329" spans="1:21" ht="142.5">
      <c r="A329" s="77">
        <v>4</v>
      </c>
      <c r="B329" s="79" t="s">
        <v>157</v>
      </c>
      <c r="C329" s="77" t="s">
        <v>18</v>
      </c>
      <c r="D329" s="46" t="s">
        <v>1666</v>
      </c>
      <c r="E329" s="84" t="s">
        <v>1667</v>
      </c>
      <c r="F329" s="79" t="s">
        <v>159</v>
      </c>
      <c r="G329" s="47" t="s">
        <v>18</v>
      </c>
      <c r="H329" s="47" t="s">
        <v>1650</v>
      </c>
      <c r="I329" s="47"/>
      <c r="J329" s="78">
        <v>6</v>
      </c>
      <c r="K329" s="78">
        <v>180</v>
      </c>
      <c r="L329" s="48"/>
      <c r="M329" s="48"/>
      <c r="N329" s="87" t="s">
        <v>1668</v>
      </c>
      <c r="O329" s="78"/>
      <c r="P329" s="78"/>
      <c r="Q329" s="78"/>
      <c r="R329" s="78">
        <v>119.61</v>
      </c>
      <c r="S329" s="78">
        <v>6</v>
      </c>
      <c r="T329" s="49" t="s">
        <v>142</v>
      </c>
      <c r="U329" s="85" t="s">
        <v>143</v>
      </c>
    </row>
    <row r="330" spans="1:21" ht="54.75" customHeight="1">
      <c r="A330" s="77">
        <v>3</v>
      </c>
      <c r="B330" s="79" t="s">
        <v>157</v>
      </c>
      <c r="C330" s="77" t="s">
        <v>18</v>
      </c>
      <c r="D330" s="46" t="s">
        <v>1669</v>
      </c>
      <c r="E330" s="84" t="s">
        <v>1670</v>
      </c>
      <c r="F330" s="79" t="s">
        <v>159</v>
      </c>
      <c r="G330" s="47" t="s">
        <v>1659</v>
      </c>
      <c r="H330" s="47" t="s">
        <v>1660</v>
      </c>
      <c r="I330" s="47"/>
      <c r="J330" s="78">
        <v>10</v>
      </c>
      <c r="K330" s="78">
        <v>200</v>
      </c>
      <c r="L330" s="48"/>
      <c r="M330" s="48"/>
      <c r="N330" s="87" t="s">
        <v>1663</v>
      </c>
      <c r="O330" s="78"/>
      <c r="P330" s="78"/>
      <c r="Q330" s="78"/>
      <c r="R330" s="78">
        <v>162.11</v>
      </c>
      <c r="S330" s="78">
        <v>10</v>
      </c>
      <c r="T330" s="143" t="s">
        <v>142</v>
      </c>
      <c r="U330" s="85" t="s">
        <v>143</v>
      </c>
    </row>
    <row r="331" spans="1:21" ht="69" customHeight="1">
      <c r="A331" s="101"/>
      <c r="B331" s="79" t="s">
        <v>157</v>
      </c>
      <c r="C331" s="77" t="s">
        <v>18</v>
      </c>
      <c r="D331" s="46" t="s">
        <v>1673</v>
      </c>
      <c r="E331" s="84" t="s">
        <v>1674</v>
      </c>
      <c r="F331" s="79" t="s">
        <v>159</v>
      </c>
      <c r="G331" s="47" t="s">
        <v>1656</v>
      </c>
      <c r="H331" s="47" t="s">
        <v>1660</v>
      </c>
      <c r="I331" s="47"/>
      <c r="J331" s="78"/>
      <c r="K331" s="98"/>
      <c r="L331" s="48"/>
      <c r="M331" s="48"/>
      <c r="N331" s="87" t="s">
        <v>229</v>
      </c>
      <c r="O331" s="78"/>
      <c r="P331" s="78"/>
      <c r="Q331" s="78"/>
      <c r="R331" s="98"/>
      <c r="S331" s="78">
        <v>5.5</v>
      </c>
      <c r="T331" s="49" t="s">
        <v>142</v>
      </c>
      <c r="U331" s="85" t="s">
        <v>143</v>
      </c>
    </row>
    <row r="332" spans="1:21" ht="120">
      <c r="A332" s="77">
        <v>5</v>
      </c>
      <c r="B332" s="79" t="s">
        <v>176</v>
      </c>
      <c r="C332" s="77" t="s">
        <v>18</v>
      </c>
      <c r="D332" s="37" t="s">
        <v>1675</v>
      </c>
      <c r="E332" s="84" t="s">
        <v>1676</v>
      </c>
      <c r="F332" s="79" t="s">
        <v>159</v>
      </c>
      <c r="G332" s="79" t="s">
        <v>1656</v>
      </c>
      <c r="H332" s="79" t="s">
        <v>1660</v>
      </c>
      <c r="I332" s="79"/>
      <c r="J332" s="51">
        <v>7.62</v>
      </c>
      <c r="K332" s="51">
        <v>207.23</v>
      </c>
      <c r="L332" s="80" t="s">
        <v>1677</v>
      </c>
      <c r="M332" s="80" t="s">
        <v>1678</v>
      </c>
      <c r="N332" s="125" t="s">
        <v>530</v>
      </c>
      <c r="O332" s="51">
        <v>110.28</v>
      </c>
      <c r="P332" s="51"/>
      <c r="Q332" s="51">
        <f aca="true" t="shared" si="16" ref="Q332:Q338">SUM(O332:P332)</f>
        <v>110.28</v>
      </c>
      <c r="R332" s="51">
        <v>334.73</v>
      </c>
      <c r="S332" s="51">
        <v>7.62</v>
      </c>
      <c r="T332" s="83" t="s">
        <v>142</v>
      </c>
      <c r="U332" s="85" t="s">
        <v>143</v>
      </c>
    </row>
    <row r="333" spans="1:21" ht="99.75">
      <c r="A333" s="77">
        <v>4</v>
      </c>
      <c r="B333" s="79" t="s">
        <v>185</v>
      </c>
      <c r="C333" s="77" t="s">
        <v>18</v>
      </c>
      <c r="D333" s="36" t="s">
        <v>1679</v>
      </c>
      <c r="E333" s="84" t="s">
        <v>1649</v>
      </c>
      <c r="F333" s="79" t="s">
        <v>135</v>
      </c>
      <c r="G333" s="79" t="s">
        <v>1659</v>
      </c>
      <c r="H333" s="79" t="s">
        <v>1660</v>
      </c>
      <c r="I333" s="79" t="s">
        <v>1206</v>
      </c>
      <c r="J333" s="51">
        <v>4</v>
      </c>
      <c r="K333" s="51">
        <v>28.74</v>
      </c>
      <c r="L333" s="90" t="s">
        <v>1680</v>
      </c>
      <c r="M333" s="90" t="s">
        <v>1681</v>
      </c>
      <c r="N333" s="90" t="s">
        <v>163</v>
      </c>
      <c r="O333" s="86">
        <v>27.03</v>
      </c>
      <c r="P333" s="86">
        <v>0</v>
      </c>
      <c r="Q333" s="86">
        <f t="shared" si="16"/>
        <v>27.03</v>
      </c>
      <c r="R333" s="86">
        <v>0.11</v>
      </c>
      <c r="S333" s="51">
        <v>4</v>
      </c>
      <c r="T333" s="83" t="s">
        <v>142</v>
      </c>
      <c r="U333" s="85" t="s">
        <v>143</v>
      </c>
    </row>
    <row r="334" spans="1:21" ht="71.25">
      <c r="A334" s="77">
        <v>5</v>
      </c>
      <c r="B334" s="79" t="s">
        <v>185</v>
      </c>
      <c r="C334" s="77" t="s">
        <v>18</v>
      </c>
      <c r="D334" s="36" t="s">
        <v>1682</v>
      </c>
      <c r="E334" s="84" t="s">
        <v>1652</v>
      </c>
      <c r="F334" s="79" t="s">
        <v>135</v>
      </c>
      <c r="G334" s="79" t="s">
        <v>18</v>
      </c>
      <c r="H334" s="79" t="s">
        <v>1650</v>
      </c>
      <c r="I334" s="79" t="s">
        <v>198</v>
      </c>
      <c r="J334" s="51">
        <v>8.94</v>
      </c>
      <c r="K334" s="51">
        <v>123.84</v>
      </c>
      <c r="L334" s="89" t="s">
        <v>1683</v>
      </c>
      <c r="M334" s="90" t="s">
        <v>1684</v>
      </c>
      <c r="N334" s="90" t="s">
        <v>195</v>
      </c>
      <c r="O334" s="86">
        <v>97.34</v>
      </c>
      <c r="P334" s="86">
        <v>0</v>
      </c>
      <c r="Q334" s="86">
        <f t="shared" si="16"/>
        <v>97.34</v>
      </c>
      <c r="R334" s="86">
        <v>108.65</v>
      </c>
      <c r="S334" s="51">
        <v>8.94</v>
      </c>
      <c r="T334" s="83" t="s">
        <v>142</v>
      </c>
      <c r="U334" s="85" t="s">
        <v>143</v>
      </c>
    </row>
    <row r="335" spans="1:21" ht="90">
      <c r="A335" s="77">
        <v>6</v>
      </c>
      <c r="B335" s="79" t="s">
        <v>202</v>
      </c>
      <c r="C335" s="77" t="s">
        <v>18</v>
      </c>
      <c r="D335" s="37" t="s">
        <v>1685</v>
      </c>
      <c r="E335" s="84" t="s">
        <v>1649</v>
      </c>
      <c r="F335" s="79" t="s">
        <v>135</v>
      </c>
      <c r="G335" s="79" t="s">
        <v>1656</v>
      </c>
      <c r="H335" s="79" t="s">
        <v>1660</v>
      </c>
      <c r="I335" s="79" t="s">
        <v>1193</v>
      </c>
      <c r="J335" s="80">
        <v>6.7</v>
      </c>
      <c r="K335" s="80">
        <v>113.74</v>
      </c>
      <c r="L335" s="80" t="s">
        <v>1358</v>
      </c>
      <c r="M335" s="80" t="s">
        <v>1359</v>
      </c>
      <c r="N335" s="80" t="s">
        <v>1196</v>
      </c>
      <c r="O335" s="80">
        <v>86.09</v>
      </c>
      <c r="P335" s="80"/>
      <c r="Q335" s="80">
        <f t="shared" si="16"/>
        <v>86.09</v>
      </c>
      <c r="R335" s="80">
        <f>112.91+10.63</f>
        <v>123.53999999999999</v>
      </c>
      <c r="S335" s="80">
        <v>6.7</v>
      </c>
      <c r="T335" s="85" t="s">
        <v>142</v>
      </c>
      <c r="U335" s="85" t="s">
        <v>1686</v>
      </c>
    </row>
    <row r="336" spans="1:21" ht="210">
      <c r="A336" s="77">
        <v>7</v>
      </c>
      <c r="B336" s="79" t="s">
        <v>202</v>
      </c>
      <c r="C336" s="77" t="s">
        <v>18</v>
      </c>
      <c r="D336" s="37" t="s">
        <v>1687</v>
      </c>
      <c r="E336" s="84" t="s">
        <v>1652</v>
      </c>
      <c r="F336" s="79" t="s">
        <v>135</v>
      </c>
      <c r="G336" s="79" t="s">
        <v>1656</v>
      </c>
      <c r="H336" s="79" t="s">
        <v>1660</v>
      </c>
      <c r="I336" s="79" t="s">
        <v>1688</v>
      </c>
      <c r="J336" s="80">
        <v>12</v>
      </c>
      <c r="K336" s="80">
        <v>295.65</v>
      </c>
      <c r="L336" s="80" t="s">
        <v>1689</v>
      </c>
      <c r="M336" s="80" t="s">
        <v>1690</v>
      </c>
      <c r="N336" s="80" t="s">
        <v>216</v>
      </c>
      <c r="O336" s="80">
        <v>291.38</v>
      </c>
      <c r="P336" s="80">
        <v>117.5</v>
      </c>
      <c r="Q336" s="80">
        <f t="shared" si="16"/>
        <v>408.88</v>
      </c>
      <c r="R336" s="80">
        <v>401.39</v>
      </c>
      <c r="S336" s="80">
        <v>12</v>
      </c>
      <c r="T336" s="85" t="s">
        <v>142</v>
      </c>
      <c r="U336" s="85" t="s">
        <v>143</v>
      </c>
    </row>
    <row r="337" spans="1:21" ht="75">
      <c r="A337" s="77">
        <v>8</v>
      </c>
      <c r="B337" s="79" t="s">
        <v>202</v>
      </c>
      <c r="C337" s="77" t="s">
        <v>18</v>
      </c>
      <c r="D337" s="37" t="s">
        <v>1691</v>
      </c>
      <c r="E337" s="84" t="s">
        <v>1655</v>
      </c>
      <c r="F337" s="79" t="s">
        <v>135</v>
      </c>
      <c r="G337" s="79" t="s">
        <v>1656</v>
      </c>
      <c r="H337" s="79" t="s">
        <v>1660</v>
      </c>
      <c r="I337" s="183" t="s">
        <v>1193</v>
      </c>
      <c r="J337" s="80">
        <v>5</v>
      </c>
      <c r="K337" s="80">
        <v>87.62</v>
      </c>
      <c r="L337" s="80" t="s">
        <v>1692</v>
      </c>
      <c r="M337" s="80" t="s">
        <v>1693</v>
      </c>
      <c r="N337" s="80" t="s">
        <v>242</v>
      </c>
      <c r="O337" s="80">
        <v>78.94</v>
      </c>
      <c r="P337" s="80"/>
      <c r="Q337" s="80">
        <f t="shared" si="16"/>
        <v>78.94</v>
      </c>
      <c r="R337" s="80">
        <v>72.31</v>
      </c>
      <c r="S337" s="80">
        <v>5</v>
      </c>
      <c r="T337" s="85" t="s">
        <v>142</v>
      </c>
      <c r="U337" s="85" t="s">
        <v>143</v>
      </c>
    </row>
    <row r="338" spans="1:21" ht="90">
      <c r="A338" s="77">
        <v>9</v>
      </c>
      <c r="B338" s="79" t="s">
        <v>202</v>
      </c>
      <c r="C338" s="77" t="s">
        <v>18</v>
      </c>
      <c r="D338" s="37" t="s">
        <v>1694</v>
      </c>
      <c r="E338" s="84" t="s">
        <v>1676</v>
      </c>
      <c r="F338" s="79" t="s">
        <v>135</v>
      </c>
      <c r="G338" s="79" t="s">
        <v>1656</v>
      </c>
      <c r="H338" s="79" t="s">
        <v>1660</v>
      </c>
      <c r="I338" s="183"/>
      <c r="J338" s="80">
        <v>8</v>
      </c>
      <c r="K338" s="80">
        <v>135.95</v>
      </c>
      <c r="L338" s="80" t="s">
        <v>1695</v>
      </c>
      <c r="M338" s="80" t="s">
        <v>1696</v>
      </c>
      <c r="N338" s="80" t="s">
        <v>841</v>
      </c>
      <c r="O338" s="80">
        <v>120.35</v>
      </c>
      <c r="P338" s="80"/>
      <c r="Q338" s="80">
        <f t="shared" si="16"/>
        <v>120.35</v>
      </c>
      <c r="R338" s="80">
        <v>129.26</v>
      </c>
      <c r="S338" s="80">
        <v>8</v>
      </c>
      <c r="T338" s="85" t="s">
        <v>142</v>
      </c>
      <c r="U338" s="85" t="s">
        <v>143</v>
      </c>
    </row>
    <row r="339" spans="1:21" ht="156.75">
      <c r="A339" s="77">
        <v>10</v>
      </c>
      <c r="B339" s="79" t="s">
        <v>221</v>
      </c>
      <c r="C339" s="77" t="s">
        <v>18</v>
      </c>
      <c r="D339" s="36" t="s">
        <v>1697</v>
      </c>
      <c r="E339" s="51" t="s">
        <v>1649</v>
      </c>
      <c r="F339" s="79" t="s">
        <v>135</v>
      </c>
      <c r="G339" s="52" t="s">
        <v>1656</v>
      </c>
      <c r="H339" s="52" t="s">
        <v>1660</v>
      </c>
      <c r="I339" s="79" t="s">
        <v>1698</v>
      </c>
      <c r="J339" s="80">
        <v>5</v>
      </c>
      <c r="K339" s="80">
        <v>86.49</v>
      </c>
      <c r="L339" s="80" t="s">
        <v>1699</v>
      </c>
      <c r="M339" s="80" t="s">
        <v>1700</v>
      </c>
      <c r="N339" s="80" t="s">
        <v>1415</v>
      </c>
      <c r="O339" s="80">
        <v>84.75</v>
      </c>
      <c r="P339" s="80"/>
      <c r="Q339" s="80">
        <f aca="true" t="shared" si="17" ref="Q339:Q347">SUM(O339:P339)</f>
        <v>84.75</v>
      </c>
      <c r="R339" s="80">
        <v>72.67</v>
      </c>
      <c r="S339" s="80">
        <v>5</v>
      </c>
      <c r="T339" s="83" t="s">
        <v>142</v>
      </c>
      <c r="U339" s="85" t="s">
        <v>143</v>
      </c>
    </row>
    <row r="340" spans="1:21" ht="114">
      <c r="A340" s="77">
        <v>11</v>
      </c>
      <c r="B340" s="79" t="s">
        <v>221</v>
      </c>
      <c r="C340" s="77" t="s">
        <v>18</v>
      </c>
      <c r="D340" s="36" t="s">
        <v>1701</v>
      </c>
      <c r="E340" s="51" t="s">
        <v>1652</v>
      </c>
      <c r="F340" s="79" t="s">
        <v>135</v>
      </c>
      <c r="G340" s="52" t="s">
        <v>1656</v>
      </c>
      <c r="H340" s="52" t="s">
        <v>1660</v>
      </c>
      <c r="I340" s="79" t="s">
        <v>192</v>
      </c>
      <c r="J340" s="80">
        <v>6</v>
      </c>
      <c r="K340" s="80">
        <v>91.81</v>
      </c>
      <c r="L340" s="80" t="s">
        <v>1699</v>
      </c>
      <c r="M340" s="80" t="s">
        <v>1700</v>
      </c>
      <c r="N340" s="80" t="s">
        <v>1207</v>
      </c>
      <c r="O340" s="80">
        <v>83.6</v>
      </c>
      <c r="P340" s="80"/>
      <c r="Q340" s="80">
        <f t="shared" si="17"/>
        <v>83.6</v>
      </c>
      <c r="R340" s="80">
        <v>77.03</v>
      </c>
      <c r="S340" s="80">
        <v>6</v>
      </c>
      <c r="T340" s="83" t="s">
        <v>142</v>
      </c>
      <c r="U340" s="85" t="s">
        <v>143</v>
      </c>
    </row>
    <row r="341" spans="1:21" ht="71.25">
      <c r="A341" s="77">
        <v>12</v>
      </c>
      <c r="B341" s="79" t="s">
        <v>221</v>
      </c>
      <c r="C341" s="77" t="s">
        <v>18</v>
      </c>
      <c r="D341" s="36" t="s">
        <v>1702</v>
      </c>
      <c r="E341" s="51" t="s">
        <v>1655</v>
      </c>
      <c r="F341" s="79" t="s">
        <v>135</v>
      </c>
      <c r="G341" s="52" t="s">
        <v>1656</v>
      </c>
      <c r="H341" s="52" t="s">
        <v>1650</v>
      </c>
      <c r="I341" s="79" t="s">
        <v>1703</v>
      </c>
      <c r="J341" s="80">
        <v>8.9</v>
      </c>
      <c r="K341" s="80">
        <v>177.84</v>
      </c>
      <c r="L341" s="80" t="s">
        <v>1704</v>
      </c>
      <c r="M341" s="80" t="s">
        <v>1705</v>
      </c>
      <c r="N341" s="80" t="s">
        <v>1207</v>
      </c>
      <c r="O341" s="80">
        <v>142.86</v>
      </c>
      <c r="P341" s="80"/>
      <c r="Q341" s="80">
        <f t="shared" si="17"/>
        <v>142.86</v>
      </c>
      <c r="R341" s="80">
        <v>173.85</v>
      </c>
      <c r="S341" s="80">
        <v>8.9</v>
      </c>
      <c r="T341" s="83" t="s">
        <v>142</v>
      </c>
      <c r="U341" s="85" t="s">
        <v>143</v>
      </c>
    </row>
    <row r="342" spans="1:21" ht="71.25">
      <c r="A342" s="77">
        <v>13</v>
      </c>
      <c r="B342" s="79" t="s">
        <v>221</v>
      </c>
      <c r="C342" s="77" t="s">
        <v>18</v>
      </c>
      <c r="D342" s="36" t="s">
        <v>1706</v>
      </c>
      <c r="E342" s="51" t="s">
        <v>1676</v>
      </c>
      <c r="F342" s="79" t="s">
        <v>135</v>
      </c>
      <c r="G342" s="52" t="s">
        <v>1656</v>
      </c>
      <c r="H342" s="52" t="s">
        <v>1660</v>
      </c>
      <c r="I342" s="79" t="s">
        <v>192</v>
      </c>
      <c r="J342" s="80">
        <v>26.28</v>
      </c>
      <c r="K342" s="80">
        <v>554.39</v>
      </c>
      <c r="L342" s="80" t="s">
        <v>1677</v>
      </c>
      <c r="M342" s="80" t="s">
        <v>1678</v>
      </c>
      <c r="N342" s="80" t="s">
        <v>230</v>
      </c>
      <c r="O342" s="80">
        <v>540.98</v>
      </c>
      <c r="P342" s="80">
        <v>161.63</v>
      </c>
      <c r="Q342" s="80">
        <f t="shared" si="17"/>
        <v>702.61</v>
      </c>
      <c r="R342" s="80">
        <v>717.34</v>
      </c>
      <c r="S342" s="80">
        <v>26.28</v>
      </c>
      <c r="T342" s="83" t="s">
        <v>142</v>
      </c>
      <c r="U342" s="85" t="s">
        <v>143</v>
      </c>
    </row>
    <row r="343" spans="1:21" ht="85.5">
      <c r="A343" s="77">
        <v>1</v>
      </c>
      <c r="B343" s="79" t="s">
        <v>221</v>
      </c>
      <c r="C343" s="77" t="s">
        <v>18</v>
      </c>
      <c r="D343" s="36" t="s">
        <v>1707</v>
      </c>
      <c r="E343" s="51" t="s">
        <v>1667</v>
      </c>
      <c r="F343" s="79" t="s">
        <v>135</v>
      </c>
      <c r="G343" s="52" t="s">
        <v>1708</v>
      </c>
      <c r="H343" s="52" t="s">
        <v>1650</v>
      </c>
      <c r="I343" s="79" t="s">
        <v>1709</v>
      </c>
      <c r="J343" s="80">
        <v>7.75</v>
      </c>
      <c r="K343" s="80">
        <v>162.55</v>
      </c>
      <c r="L343" s="80" t="s">
        <v>1710</v>
      </c>
      <c r="M343" s="80" t="s">
        <v>1711</v>
      </c>
      <c r="N343" s="80" t="s">
        <v>216</v>
      </c>
      <c r="O343" s="80">
        <v>131.48</v>
      </c>
      <c r="P343" s="80"/>
      <c r="Q343" s="80">
        <f t="shared" si="17"/>
        <v>131.48</v>
      </c>
      <c r="R343" s="80">
        <v>137.39</v>
      </c>
      <c r="S343" s="80">
        <v>7.75</v>
      </c>
      <c r="T343" s="83" t="s">
        <v>142</v>
      </c>
      <c r="U343" s="85" t="s">
        <v>143</v>
      </c>
    </row>
    <row r="344" spans="1:21" ht="85.5">
      <c r="A344" s="77">
        <v>6</v>
      </c>
      <c r="B344" s="79" t="s">
        <v>221</v>
      </c>
      <c r="C344" s="77" t="s">
        <v>18</v>
      </c>
      <c r="D344" s="36" t="s">
        <v>1712</v>
      </c>
      <c r="E344" s="51" t="s">
        <v>1670</v>
      </c>
      <c r="F344" s="79" t="s">
        <v>135</v>
      </c>
      <c r="G344" s="52" t="s">
        <v>18</v>
      </c>
      <c r="H344" s="52" t="s">
        <v>1650</v>
      </c>
      <c r="I344" s="183" t="s">
        <v>1713</v>
      </c>
      <c r="J344" s="80">
        <v>15</v>
      </c>
      <c r="K344" s="80">
        <v>351.6</v>
      </c>
      <c r="L344" s="80" t="s">
        <v>1714</v>
      </c>
      <c r="M344" s="80" t="s">
        <v>1715</v>
      </c>
      <c r="N344" s="80" t="s">
        <v>565</v>
      </c>
      <c r="O344" s="80">
        <v>288.14</v>
      </c>
      <c r="P344" s="80"/>
      <c r="Q344" s="80">
        <f t="shared" si="17"/>
        <v>288.14</v>
      </c>
      <c r="R344" s="80">
        <v>730.57</v>
      </c>
      <c r="S344" s="80">
        <v>15</v>
      </c>
      <c r="T344" s="83" t="s">
        <v>142</v>
      </c>
      <c r="U344" s="205" t="s">
        <v>143</v>
      </c>
    </row>
    <row r="345" spans="1:21" ht="85.5">
      <c r="A345" s="77">
        <v>7</v>
      </c>
      <c r="B345" s="79" t="s">
        <v>221</v>
      </c>
      <c r="C345" s="77" t="s">
        <v>18</v>
      </c>
      <c r="D345" s="36" t="s">
        <v>1716</v>
      </c>
      <c r="E345" s="51" t="s">
        <v>1672</v>
      </c>
      <c r="F345" s="79" t="s">
        <v>135</v>
      </c>
      <c r="G345" s="52" t="s">
        <v>18</v>
      </c>
      <c r="H345" s="52" t="s">
        <v>1650</v>
      </c>
      <c r="I345" s="183"/>
      <c r="J345" s="80">
        <v>14</v>
      </c>
      <c r="K345" s="80">
        <v>319.27</v>
      </c>
      <c r="L345" s="80" t="s">
        <v>1714</v>
      </c>
      <c r="M345" s="80" t="s">
        <v>1715</v>
      </c>
      <c r="N345" s="80" t="s">
        <v>141</v>
      </c>
      <c r="O345" s="80">
        <v>319.32</v>
      </c>
      <c r="P345" s="80"/>
      <c r="Q345" s="80">
        <f t="shared" si="17"/>
        <v>319.32</v>
      </c>
      <c r="R345" s="80">
        <v>19.62</v>
      </c>
      <c r="S345" s="80">
        <v>14</v>
      </c>
      <c r="T345" s="83" t="s">
        <v>142</v>
      </c>
      <c r="U345" s="205"/>
    </row>
    <row r="346" spans="1:21" ht="71.25">
      <c r="A346" s="77">
        <v>14</v>
      </c>
      <c r="B346" s="79" t="s">
        <v>221</v>
      </c>
      <c r="C346" s="77" t="s">
        <v>18</v>
      </c>
      <c r="D346" s="36" t="s">
        <v>1717</v>
      </c>
      <c r="E346" s="51" t="s">
        <v>1718</v>
      </c>
      <c r="F346" s="79" t="s">
        <v>135</v>
      </c>
      <c r="G346" s="52" t="s">
        <v>1656</v>
      </c>
      <c r="H346" s="52" t="s">
        <v>1660</v>
      </c>
      <c r="I346" s="79" t="s">
        <v>1206</v>
      </c>
      <c r="J346" s="80">
        <v>11</v>
      </c>
      <c r="K346" s="80">
        <v>316.55</v>
      </c>
      <c r="L346" s="80" t="s">
        <v>1719</v>
      </c>
      <c r="M346" s="80" t="s">
        <v>1720</v>
      </c>
      <c r="N346" s="80" t="s">
        <v>565</v>
      </c>
      <c r="O346" s="80">
        <v>279.1</v>
      </c>
      <c r="P346" s="80"/>
      <c r="Q346" s="80">
        <f t="shared" si="17"/>
        <v>279.1</v>
      </c>
      <c r="R346" s="80">
        <v>347.62</v>
      </c>
      <c r="S346" s="80">
        <v>11</v>
      </c>
      <c r="T346" s="83" t="s">
        <v>142</v>
      </c>
      <c r="U346" s="85" t="s">
        <v>143</v>
      </c>
    </row>
    <row r="347" spans="1:21" ht="71.25">
      <c r="A347" s="77">
        <v>15</v>
      </c>
      <c r="B347" s="79" t="s">
        <v>221</v>
      </c>
      <c r="C347" s="77" t="s">
        <v>18</v>
      </c>
      <c r="D347" s="36" t="s">
        <v>1721</v>
      </c>
      <c r="E347" s="51" t="s">
        <v>1722</v>
      </c>
      <c r="F347" s="79" t="s">
        <v>135</v>
      </c>
      <c r="G347" s="52" t="s">
        <v>1656</v>
      </c>
      <c r="H347" s="52" t="s">
        <v>1660</v>
      </c>
      <c r="I347" s="79" t="s">
        <v>1206</v>
      </c>
      <c r="J347" s="80">
        <v>6.25</v>
      </c>
      <c r="K347" s="80">
        <v>196.31</v>
      </c>
      <c r="L347" s="80" t="s">
        <v>1723</v>
      </c>
      <c r="M347" s="80" t="s">
        <v>1724</v>
      </c>
      <c r="N347" s="80" t="s">
        <v>216</v>
      </c>
      <c r="O347" s="80">
        <v>189.46</v>
      </c>
      <c r="P347" s="80"/>
      <c r="Q347" s="80">
        <f t="shared" si="17"/>
        <v>189.46</v>
      </c>
      <c r="R347" s="80">
        <v>181.95</v>
      </c>
      <c r="S347" s="80">
        <v>6.25</v>
      </c>
      <c r="T347" s="83" t="s">
        <v>142</v>
      </c>
      <c r="U347" s="85" t="s">
        <v>143</v>
      </c>
    </row>
    <row r="348" spans="1:21" ht="135">
      <c r="A348" s="77">
        <v>5</v>
      </c>
      <c r="B348" s="79" t="s">
        <v>244</v>
      </c>
      <c r="C348" s="77" t="s">
        <v>18</v>
      </c>
      <c r="D348" s="36" t="s">
        <v>1725</v>
      </c>
      <c r="E348" s="51" t="s">
        <v>1649</v>
      </c>
      <c r="F348" s="80" t="s">
        <v>159</v>
      </c>
      <c r="G348" s="53" t="s">
        <v>1659</v>
      </c>
      <c r="H348" s="53" t="s">
        <v>1660</v>
      </c>
      <c r="I348" s="191" t="s">
        <v>1726</v>
      </c>
      <c r="J348" s="80">
        <v>4</v>
      </c>
      <c r="K348" s="80">
        <v>107.7</v>
      </c>
      <c r="L348" s="80" t="s">
        <v>1727</v>
      </c>
      <c r="M348" s="80" t="s">
        <v>230</v>
      </c>
      <c r="N348" s="80" t="s">
        <v>230</v>
      </c>
      <c r="O348" s="80">
        <v>94.25</v>
      </c>
      <c r="P348" s="80"/>
      <c r="Q348" s="80">
        <f aca="true" t="shared" si="18" ref="Q348:Q353">SUM(O348:P348)</f>
        <v>94.25</v>
      </c>
      <c r="R348" s="80">
        <v>0</v>
      </c>
      <c r="S348" s="80">
        <v>4</v>
      </c>
      <c r="T348" s="85" t="s">
        <v>142</v>
      </c>
      <c r="U348" s="83" t="s">
        <v>261</v>
      </c>
    </row>
    <row r="349" spans="1:21" ht="85.5">
      <c r="A349" s="77">
        <v>16</v>
      </c>
      <c r="B349" s="79" t="s">
        <v>244</v>
      </c>
      <c r="C349" s="77" t="s">
        <v>18</v>
      </c>
      <c r="D349" s="36" t="s">
        <v>1728</v>
      </c>
      <c r="E349" s="51" t="s">
        <v>1670</v>
      </c>
      <c r="F349" s="79" t="s">
        <v>135</v>
      </c>
      <c r="G349" s="53" t="s">
        <v>1656</v>
      </c>
      <c r="H349" s="53" t="s">
        <v>1650</v>
      </c>
      <c r="I349" s="191"/>
      <c r="J349" s="80">
        <v>4.08</v>
      </c>
      <c r="K349" s="80">
        <v>71.58</v>
      </c>
      <c r="L349" s="80" t="s">
        <v>1727</v>
      </c>
      <c r="M349" s="80" t="s">
        <v>1729</v>
      </c>
      <c r="N349" s="80" t="s">
        <v>249</v>
      </c>
      <c r="O349" s="80">
        <v>62.04</v>
      </c>
      <c r="P349" s="80"/>
      <c r="Q349" s="80">
        <f t="shared" si="18"/>
        <v>62.04</v>
      </c>
      <c r="R349" s="80">
        <v>154.35</v>
      </c>
      <c r="S349" s="80">
        <v>4.08</v>
      </c>
      <c r="T349" s="85" t="s">
        <v>142</v>
      </c>
      <c r="U349" s="83" t="s">
        <v>261</v>
      </c>
    </row>
    <row r="350" spans="1:21" ht="99.75">
      <c r="A350" s="77">
        <v>2</v>
      </c>
      <c r="B350" s="79" t="s">
        <v>244</v>
      </c>
      <c r="C350" s="77" t="s">
        <v>18</v>
      </c>
      <c r="D350" s="36" t="s">
        <v>1730</v>
      </c>
      <c r="E350" s="51" t="s">
        <v>1652</v>
      </c>
      <c r="F350" s="79" t="s">
        <v>135</v>
      </c>
      <c r="G350" s="53" t="s">
        <v>1708</v>
      </c>
      <c r="H350" s="53" t="s">
        <v>1650</v>
      </c>
      <c r="I350" s="81" t="s">
        <v>1731</v>
      </c>
      <c r="J350" s="80">
        <v>5</v>
      </c>
      <c r="K350" s="80">
        <v>130.1</v>
      </c>
      <c r="L350" s="80" t="s">
        <v>1732</v>
      </c>
      <c r="M350" s="80" t="s">
        <v>628</v>
      </c>
      <c r="N350" s="80" t="s">
        <v>942</v>
      </c>
      <c r="O350" s="80">
        <v>102.23</v>
      </c>
      <c r="P350" s="80"/>
      <c r="Q350" s="80">
        <f t="shared" si="18"/>
        <v>102.23</v>
      </c>
      <c r="R350" s="80">
        <v>0</v>
      </c>
      <c r="S350" s="80">
        <v>5</v>
      </c>
      <c r="T350" s="85" t="s">
        <v>142</v>
      </c>
      <c r="U350" s="83" t="s">
        <v>143</v>
      </c>
    </row>
    <row r="351" spans="1:21" ht="156.75">
      <c r="A351" s="77">
        <v>8</v>
      </c>
      <c r="B351" s="79" t="s">
        <v>244</v>
      </c>
      <c r="C351" s="77" t="s">
        <v>18</v>
      </c>
      <c r="D351" s="36" t="s">
        <v>1733</v>
      </c>
      <c r="E351" s="51" t="s">
        <v>1655</v>
      </c>
      <c r="F351" s="80" t="s">
        <v>159</v>
      </c>
      <c r="G351" s="53" t="s">
        <v>18</v>
      </c>
      <c r="H351" s="53" t="s">
        <v>1650</v>
      </c>
      <c r="I351" s="81" t="s">
        <v>602</v>
      </c>
      <c r="J351" s="80">
        <v>11</v>
      </c>
      <c r="K351" s="80">
        <v>371.8</v>
      </c>
      <c r="L351" s="80" t="s">
        <v>1734</v>
      </c>
      <c r="M351" s="80" t="s">
        <v>609</v>
      </c>
      <c r="N351" s="80" t="s">
        <v>380</v>
      </c>
      <c r="O351" s="80">
        <v>348.48</v>
      </c>
      <c r="P351" s="80"/>
      <c r="Q351" s="80">
        <f t="shared" si="18"/>
        <v>348.48</v>
      </c>
      <c r="R351" s="80">
        <v>365.24</v>
      </c>
      <c r="S351" s="80">
        <v>11</v>
      </c>
      <c r="T351" s="85" t="s">
        <v>142</v>
      </c>
      <c r="U351" s="83" t="s">
        <v>1188</v>
      </c>
    </row>
    <row r="352" spans="1:21" ht="71.25">
      <c r="A352" s="77">
        <v>17</v>
      </c>
      <c r="B352" s="79" t="s">
        <v>244</v>
      </c>
      <c r="C352" s="77" t="s">
        <v>18</v>
      </c>
      <c r="D352" s="36" t="s">
        <v>1735</v>
      </c>
      <c r="E352" s="51" t="s">
        <v>1676</v>
      </c>
      <c r="F352" s="80" t="s">
        <v>159</v>
      </c>
      <c r="G352" s="53" t="s">
        <v>1656</v>
      </c>
      <c r="H352" s="53" t="s">
        <v>1650</v>
      </c>
      <c r="I352" s="81" t="s">
        <v>1688</v>
      </c>
      <c r="J352" s="80">
        <v>17.4</v>
      </c>
      <c r="K352" s="80">
        <v>502.23</v>
      </c>
      <c r="L352" s="80" t="s">
        <v>1736</v>
      </c>
      <c r="M352" s="80" t="s">
        <v>435</v>
      </c>
      <c r="N352" s="80" t="s">
        <v>405</v>
      </c>
      <c r="O352" s="80">
        <v>590.58</v>
      </c>
      <c r="P352" s="80"/>
      <c r="Q352" s="80">
        <f t="shared" si="18"/>
        <v>590.58</v>
      </c>
      <c r="R352" s="80">
        <v>591.6</v>
      </c>
      <c r="S352" s="80">
        <v>17.4</v>
      </c>
      <c r="T352" s="145" t="s">
        <v>142</v>
      </c>
      <c r="U352" s="83" t="s">
        <v>261</v>
      </c>
    </row>
    <row r="353" spans="1:21" ht="85.5">
      <c r="A353" s="77">
        <v>18</v>
      </c>
      <c r="B353" s="79" t="s">
        <v>244</v>
      </c>
      <c r="C353" s="77" t="s">
        <v>18</v>
      </c>
      <c r="D353" s="36" t="s">
        <v>1737</v>
      </c>
      <c r="E353" s="51" t="s">
        <v>1667</v>
      </c>
      <c r="F353" s="80" t="s">
        <v>159</v>
      </c>
      <c r="G353" s="53" t="s">
        <v>1656</v>
      </c>
      <c r="H353" s="53" t="s">
        <v>1660</v>
      </c>
      <c r="I353" s="81" t="s">
        <v>1726</v>
      </c>
      <c r="J353" s="80">
        <v>20.22</v>
      </c>
      <c r="K353" s="80">
        <v>622.19</v>
      </c>
      <c r="L353" s="80" t="s">
        <v>1738</v>
      </c>
      <c r="M353" s="80" t="s">
        <v>1739</v>
      </c>
      <c r="N353" s="80" t="s">
        <v>308</v>
      </c>
      <c r="O353" s="80">
        <v>599.37</v>
      </c>
      <c r="P353" s="80">
        <v>72.99</v>
      </c>
      <c r="Q353" s="80">
        <f t="shared" si="18"/>
        <v>672.36</v>
      </c>
      <c r="R353" s="74">
        <f>6.51+670.74</f>
        <v>677.25</v>
      </c>
      <c r="S353" s="80">
        <v>20.22</v>
      </c>
      <c r="T353" s="85" t="s">
        <v>142</v>
      </c>
      <c r="U353" s="83" t="s">
        <v>261</v>
      </c>
    </row>
    <row r="354" spans="1:21" ht="75">
      <c r="A354" s="77">
        <v>9</v>
      </c>
      <c r="B354" s="79" t="s">
        <v>279</v>
      </c>
      <c r="C354" s="77" t="s">
        <v>18</v>
      </c>
      <c r="D354" s="37" t="s">
        <v>1744</v>
      </c>
      <c r="E354" s="51" t="s">
        <v>1649</v>
      </c>
      <c r="F354" s="79" t="s">
        <v>135</v>
      </c>
      <c r="G354" s="79" t="s">
        <v>18</v>
      </c>
      <c r="H354" s="79" t="s">
        <v>1650</v>
      </c>
      <c r="I354" s="79" t="s">
        <v>1745</v>
      </c>
      <c r="J354" s="116">
        <v>6</v>
      </c>
      <c r="K354" s="80">
        <v>295.51</v>
      </c>
      <c r="L354" s="79" t="s">
        <v>1240</v>
      </c>
      <c r="M354" s="79" t="s">
        <v>1746</v>
      </c>
      <c r="N354" s="79" t="s">
        <v>1041</v>
      </c>
      <c r="O354" s="80">
        <v>167.72</v>
      </c>
      <c r="P354" s="80"/>
      <c r="Q354" s="80">
        <f aca="true" t="shared" si="19" ref="Q354:Q368">SUM(O354:P354)</f>
        <v>167.72</v>
      </c>
      <c r="R354" s="80">
        <f>183.18+4.99</f>
        <v>188.17000000000002</v>
      </c>
      <c r="S354" s="80">
        <v>5.8</v>
      </c>
      <c r="T354" s="83" t="s">
        <v>142</v>
      </c>
      <c r="U354" s="83" t="s">
        <v>143</v>
      </c>
    </row>
    <row r="355" spans="1:21" ht="75">
      <c r="A355" s="77">
        <v>19</v>
      </c>
      <c r="B355" s="79" t="s">
        <v>279</v>
      </c>
      <c r="C355" s="77" t="s">
        <v>18</v>
      </c>
      <c r="D355" s="37" t="s">
        <v>1753</v>
      </c>
      <c r="E355" s="51" t="s">
        <v>1672</v>
      </c>
      <c r="F355" s="79" t="s">
        <v>135</v>
      </c>
      <c r="G355" s="79" t="s">
        <v>1656</v>
      </c>
      <c r="H355" s="79" t="s">
        <v>1660</v>
      </c>
      <c r="I355" s="79" t="s">
        <v>1754</v>
      </c>
      <c r="J355" s="116">
        <v>8</v>
      </c>
      <c r="K355" s="80">
        <v>261.65</v>
      </c>
      <c r="L355" s="79" t="s">
        <v>247</v>
      </c>
      <c r="M355" s="79" t="s">
        <v>1755</v>
      </c>
      <c r="N355" s="79" t="s">
        <v>1041</v>
      </c>
      <c r="O355" s="80">
        <v>269.02</v>
      </c>
      <c r="P355" s="80"/>
      <c r="Q355" s="80">
        <f t="shared" si="19"/>
        <v>269.02</v>
      </c>
      <c r="R355" s="80">
        <f>282.43+7.62</f>
        <v>290.05</v>
      </c>
      <c r="S355" s="80">
        <v>8</v>
      </c>
      <c r="T355" s="83" t="s">
        <v>142</v>
      </c>
      <c r="U355" s="83" t="s">
        <v>143</v>
      </c>
    </row>
    <row r="356" spans="1:21" ht="90">
      <c r="A356" s="77">
        <v>3</v>
      </c>
      <c r="B356" s="79" t="s">
        <v>279</v>
      </c>
      <c r="C356" s="77" t="s">
        <v>18</v>
      </c>
      <c r="D356" s="37" t="s">
        <v>1759</v>
      </c>
      <c r="E356" s="51" t="s">
        <v>1760</v>
      </c>
      <c r="F356" s="79" t="s">
        <v>135</v>
      </c>
      <c r="G356" s="79" t="s">
        <v>1708</v>
      </c>
      <c r="H356" s="79" t="s">
        <v>1650</v>
      </c>
      <c r="I356" s="79" t="s">
        <v>1761</v>
      </c>
      <c r="J356" s="116">
        <v>2.68</v>
      </c>
      <c r="K356" s="80">
        <v>92.65</v>
      </c>
      <c r="L356" s="79" t="s">
        <v>1762</v>
      </c>
      <c r="M356" s="79" t="s">
        <v>1763</v>
      </c>
      <c r="N356" s="79" t="s">
        <v>268</v>
      </c>
      <c r="O356" s="80">
        <v>92.56</v>
      </c>
      <c r="P356" s="80"/>
      <c r="Q356" s="80">
        <f t="shared" si="19"/>
        <v>92.56</v>
      </c>
      <c r="R356" s="80">
        <v>85.24</v>
      </c>
      <c r="S356" s="80">
        <v>2.68</v>
      </c>
      <c r="T356" s="92" t="s">
        <v>142</v>
      </c>
      <c r="U356" s="83" t="s">
        <v>143</v>
      </c>
    </row>
    <row r="357" spans="1:21" ht="75">
      <c r="A357" s="77">
        <v>10</v>
      </c>
      <c r="B357" s="79" t="s">
        <v>279</v>
      </c>
      <c r="C357" s="77" t="s">
        <v>18</v>
      </c>
      <c r="D357" s="37" t="s">
        <v>1764</v>
      </c>
      <c r="E357" s="51" t="s">
        <v>1765</v>
      </c>
      <c r="F357" s="79" t="s">
        <v>391</v>
      </c>
      <c r="G357" s="79" t="s">
        <v>18</v>
      </c>
      <c r="H357" s="79" t="s">
        <v>1650</v>
      </c>
      <c r="I357" s="79" t="s">
        <v>1766</v>
      </c>
      <c r="J357" s="80">
        <v>7.275</v>
      </c>
      <c r="K357" s="80">
        <v>289.1</v>
      </c>
      <c r="L357" s="79" t="s">
        <v>1767</v>
      </c>
      <c r="M357" s="79" t="s">
        <v>1768</v>
      </c>
      <c r="N357" s="79" t="s">
        <v>1769</v>
      </c>
      <c r="O357" s="80">
        <v>219.97</v>
      </c>
      <c r="P357" s="80"/>
      <c r="Q357" s="80">
        <f t="shared" si="19"/>
        <v>219.97</v>
      </c>
      <c r="R357" s="80">
        <f>207.17+7.77</f>
        <v>214.94</v>
      </c>
      <c r="S357" s="80">
        <v>7.28</v>
      </c>
      <c r="T357" s="83" t="s">
        <v>142</v>
      </c>
      <c r="U357" s="83" t="s">
        <v>261</v>
      </c>
    </row>
    <row r="358" spans="1:21" ht="60">
      <c r="A358" s="77">
        <v>11</v>
      </c>
      <c r="B358" s="79" t="s">
        <v>279</v>
      </c>
      <c r="C358" s="77" t="s">
        <v>18</v>
      </c>
      <c r="D358" s="37" t="s">
        <v>1770</v>
      </c>
      <c r="E358" s="51" t="s">
        <v>1771</v>
      </c>
      <c r="F358" s="79" t="s">
        <v>135</v>
      </c>
      <c r="G358" s="79" t="s">
        <v>18</v>
      </c>
      <c r="H358" s="79" t="s">
        <v>1650</v>
      </c>
      <c r="I358" s="79" t="s">
        <v>1772</v>
      </c>
      <c r="J358" s="116">
        <v>6</v>
      </c>
      <c r="K358" s="80">
        <v>210.53</v>
      </c>
      <c r="L358" s="79" t="s">
        <v>179</v>
      </c>
      <c r="M358" s="79" t="s">
        <v>1773</v>
      </c>
      <c r="N358" s="79" t="s">
        <v>1774</v>
      </c>
      <c r="O358" s="80">
        <v>131.46</v>
      </c>
      <c r="P358" s="80"/>
      <c r="Q358" s="80">
        <f t="shared" si="19"/>
        <v>131.46</v>
      </c>
      <c r="R358" s="80">
        <v>151.21</v>
      </c>
      <c r="S358" s="80">
        <v>6</v>
      </c>
      <c r="T358" s="83" t="s">
        <v>142</v>
      </c>
      <c r="U358" s="83" t="s">
        <v>143</v>
      </c>
    </row>
    <row r="359" spans="1:21" ht="195">
      <c r="A359" s="77">
        <v>4</v>
      </c>
      <c r="B359" s="79" t="s">
        <v>279</v>
      </c>
      <c r="C359" s="77" t="s">
        <v>18</v>
      </c>
      <c r="D359" s="37" t="s">
        <v>1775</v>
      </c>
      <c r="E359" s="51" t="s">
        <v>1776</v>
      </c>
      <c r="F359" s="80" t="s">
        <v>175</v>
      </c>
      <c r="G359" s="79" t="s">
        <v>1708</v>
      </c>
      <c r="H359" s="79" t="s">
        <v>1650</v>
      </c>
      <c r="I359" s="79" t="s">
        <v>1777</v>
      </c>
      <c r="J359" s="116" t="s">
        <v>141</v>
      </c>
      <c r="K359" s="80">
        <v>286.72</v>
      </c>
      <c r="L359" s="79" t="s">
        <v>1732</v>
      </c>
      <c r="M359" s="79" t="s">
        <v>942</v>
      </c>
      <c r="N359" s="79" t="s">
        <v>308</v>
      </c>
      <c r="O359" s="80">
        <v>269.29</v>
      </c>
      <c r="P359" s="80"/>
      <c r="Q359" s="80">
        <f t="shared" si="19"/>
        <v>269.29</v>
      </c>
      <c r="R359" s="80">
        <v>369.86</v>
      </c>
      <c r="S359" s="80" t="s">
        <v>141</v>
      </c>
      <c r="T359" s="83" t="s">
        <v>142</v>
      </c>
      <c r="U359" s="83" t="s">
        <v>261</v>
      </c>
    </row>
    <row r="360" spans="1:21" ht="165">
      <c r="A360" s="77">
        <v>12</v>
      </c>
      <c r="B360" s="79" t="s">
        <v>279</v>
      </c>
      <c r="C360" s="77" t="s">
        <v>18</v>
      </c>
      <c r="D360" s="37" t="s">
        <v>1781</v>
      </c>
      <c r="E360" s="51" t="s">
        <v>1782</v>
      </c>
      <c r="F360" s="80" t="s">
        <v>175</v>
      </c>
      <c r="G360" s="79" t="s">
        <v>18</v>
      </c>
      <c r="H360" s="79" t="s">
        <v>1650</v>
      </c>
      <c r="I360" s="79" t="s">
        <v>1783</v>
      </c>
      <c r="J360" s="116" t="s">
        <v>141</v>
      </c>
      <c r="K360" s="80">
        <v>149.8</v>
      </c>
      <c r="L360" s="79" t="s">
        <v>1767</v>
      </c>
      <c r="M360" s="79" t="s">
        <v>1768</v>
      </c>
      <c r="N360" s="79" t="s">
        <v>308</v>
      </c>
      <c r="O360" s="80">
        <v>148.3</v>
      </c>
      <c r="P360" s="80"/>
      <c r="Q360" s="80">
        <f t="shared" si="19"/>
        <v>148.3</v>
      </c>
      <c r="R360" s="80">
        <v>56.7</v>
      </c>
      <c r="S360" s="80" t="s">
        <v>141</v>
      </c>
      <c r="T360" s="83" t="s">
        <v>142</v>
      </c>
      <c r="U360" s="83" t="s">
        <v>261</v>
      </c>
    </row>
    <row r="361" spans="1:21" ht="90">
      <c r="A361" s="77">
        <v>20</v>
      </c>
      <c r="B361" s="79" t="s">
        <v>279</v>
      </c>
      <c r="C361" s="77" t="s">
        <v>18</v>
      </c>
      <c r="D361" s="37" t="s">
        <v>1784</v>
      </c>
      <c r="E361" s="51" t="s">
        <v>1785</v>
      </c>
      <c r="F361" s="79" t="s">
        <v>135</v>
      </c>
      <c r="G361" s="79" t="s">
        <v>1656</v>
      </c>
      <c r="H361" s="79" t="s">
        <v>1650</v>
      </c>
      <c r="I361" s="79" t="s">
        <v>1131</v>
      </c>
      <c r="J361" s="80">
        <v>14.68</v>
      </c>
      <c r="K361" s="80">
        <v>511.93</v>
      </c>
      <c r="L361" s="79" t="s">
        <v>1786</v>
      </c>
      <c r="M361" s="79" t="s">
        <v>1787</v>
      </c>
      <c r="N361" s="79" t="s">
        <v>268</v>
      </c>
      <c r="O361" s="80">
        <v>323.55</v>
      </c>
      <c r="P361" s="80"/>
      <c r="Q361" s="80">
        <f t="shared" si="19"/>
        <v>323.55</v>
      </c>
      <c r="R361" s="80">
        <f>338.57+43.88</f>
        <v>382.45</v>
      </c>
      <c r="S361" s="80">
        <v>14.68</v>
      </c>
      <c r="T361" s="92" t="s">
        <v>142</v>
      </c>
      <c r="U361" s="83" t="s">
        <v>143</v>
      </c>
    </row>
    <row r="362" spans="1:21" ht="75">
      <c r="A362" s="77">
        <v>21</v>
      </c>
      <c r="B362" s="79" t="s">
        <v>279</v>
      </c>
      <c r="C362" s="77" t="s">
        <v>18</v>
      </c>
      <c r="D362" s="37" t="s">
        <v>1788</v>
      </c>
      <c r="E362" s="51" t="s">
        <v>1789</v>
      </c>
      <c r="F362" s="79" t="s">
        <v>135</v>
      </c>
      <c r="G362" s="79" t="s">
        <v>1656</v>
      </c>
      <c r="H362" s="79" t="s">
        <v>1660</v>
      </c>
      <c r="I362" s="79" t="s">
        <v>1790</v>
      </c>
      <c r="J362" s="116">
        <v>5.58</v>
      </c>
      <c r="K362" s="80">
        <v>195.07</v>
      </c>
      <c r="L362" s="79" t="s">
        <v>179</v>
      </c>
      <c r="M362" s="79" t="s">
        <v>1773</v>
      </c>
      <c r="N362" s="79" t="s">
        <v>380</v>
      </c>
      <c r="O362" s="80">
        <v>124.17</v>
      </c>
      <c r="P362" s="80"/>
      <c r="Q362" s="80">
        <f t="shared" si="19"/>
        <v>124.17</v>
      </c>
      <c r="R362" s="80">
        <f>219.21+0</f>
        <v>219.21</v>
      </c>
      <c r="S362" s="80">
        <v>5.58</v>
      </c>
      <c r="T362" s="83" t="s">
        <v>142</v>
      </c>
      <c r="U362" s="83" t="s">
        <v>143</v>
      </c>
    </row>
    <row r="363" spans="1:21" ht="102">
      <c r="A363" s="77">
        <v>22</v>
      </c>
      <c r="B363" s="79" t="s">
        <v>313</v>
      </c>
      <c r="C363" s="77" t="s">
        <v>18</v>
      </c>
      <c r="D363" s="39" t="s">
        <v>1791</v>
      </c>
      <c r="E363" s="77" t="s">
        <v>1649</v>
      </c>
      <c r="F363" s="79" t="s">
        <v>159</v>
      </c>
      <c r="G363" s="79" t="s">
        <v>1656</v>
      </c>
      <c r="H363" s="79" t="s">
        <v>1660</v>
      </c>
      <c r="I363" s="79" t="s">
        <v>1792</v>
      </c>
      <c r="J363" s="90">
        <v>9</v>
      </c>
      <c r="K363" s="80">
        <v>222.25</v>
      </c>
      <c r="L363" s="80" t="s">
        <v>1793</v>
      </c>
      <c r="M363" s="80" t="s">
        <v>1794</v>
      </c>
      <c r="N363" s="80"/>
      <c r="O363" s="80">
        <v>218.94</v>
      </c>
      <c r="P363" s="80"/>
      <c r="Q363" s="80">
        <f t="shared" si="19"/>
        <v>218.94</v>
      </c>
      <c r="R363" s="80">
        <v>217.4</v>
      </c>
      <c r="S363" s="80">
        <v>9</v>
      </c>
      <c r="T363" s="56" t="s">
        <v>142</v>
      </c>
      <c r="U363" s="56" t="s">
        <v>261</v>
      </c>
    </row>
    <row r="364" spans="1:21" ht="102">
      <c r="A364" s="77">
        <v>23</v>
      </c>
      <c r="B364" s="79" t="s">
        <v>313</v>
      </c>
      <c r="C364" s="77" t="s">
        <v>18</v>
      </c>
      <c r="D364" s="39" t="s">
        <v>1795</v>
      </c>
      <c r="E364" s="77" t="s">
        <v>1652</v>
      </c>
      <c r="F364" s="79" t="s">
        <v>159</v>
      </c>
      <c r="G364" s="79" t="s">
        <v>1656</v>
      </c>
      <c r="H364" s="79" t="s">
        <v>1660</v>
      </c>
      <c r="I364" s="79" t="s">
        <v>1796</v>
      </c>
      <c r="J364" s="80">
        <v>6.8</v>
      </c>
      <c r="K364" s="80">
        <v>204.05</v>
      </c>
      <c r="L364" s="80" t="s">
        <v>1793</v>
      </c>
      <c r="M364" s="80" t="s">
        <v>1794</v>
      </c>
      <c r="N364" s="80" t="s">
        <v>736</v>
      </c>
      <c r="O364" s="80">
        <v>201.67</v>
      </c>
      <c r="P364" s="80"/>
      <c r="Q364" s="80">
        <f t="shared" si="19"/>
        <v>201.67</v>
      </c>
      <c r="R364" s="80">
        <f>211.1+0</f>
        <v>211.1</v>
      </c>
      <c r="S364" s="80">
        <v>6.8</v>
      </c>
      <c r="T364" s="56" t="s">
        <v>142</v>
      </c>
      <c r="U364" s="56" t="s">
        <v>261</v>
      </c>
    </row>
    <row r="365" spans="1:21" ht="76.5">
      <c r="A365" s="77">
        <v>13</v>
      </c>
      <c r="B365" s="79" t="s">
        <v>313</v>
      </c>
      <c r="C365" s="77" t="s">
        <v>18</v>
      </c>
      <c r="D365" s="39" t="s">
        <v>1797</v>
      </c>
      <c r="E365" s="77" t="s">
        <v>1655</v>
      </c>
      <c r="F365" s="79" t="s">
        <v>159</v>
      </c>
      <c r="G365" s="79" t="s">
        <v>18</v>
      </c>
      <c r="H365" s="79" t="s">
        <v>1650</v>
      </c>
      <c r="I365" s="79" t="s">
        <v>459</v>
      </c>
      <c r="J365" s="80">
        <v>8.9</v>
      </c>
      <c r="K365" s="80">
        <v>198.84</v>
      </c>
      <c r="L365" s="80" t="s">
        <v>1793</v>
      </c>
      <c r="M365" s="80" t="s">
        <v>1794</v>
      </c>
      <c r="N365" s="80" t="s">
        <v>1419</v>
      </c>
      <c r="O365" s="80">
        <v>186.5</v>
      </c>
      <c r="P365" s="80"/>
      <c r="Q365" s="80">
        <f t="shared" si="19"/>
        <v>186.5</v>
      </c>
      <c r="R365" s="80">
        <v>186.04</v>
      </c>
      <c r="S365" s="80">
        <v>8.9</v>
      </c>
      <c r="T365" s="56" t="s">
        <v>142</v>
      </c>
      <c r="U365" s="56" t="s">
        <v>261</v>
      </c>
    </row>
    <row r="366" spans="1:21" ht="76.5">
      <c r="A366" s="77">
        <v>24</v>
      </c>
      <c r="B366" s="79" t="s">
        <v>313</v>
      </c>
      <c r="C366" s="77" t="s">
        <v>18</v>
      </c>
      <c r="D366" s="39" t="s">
        <v>1798</v>
      </c>
      <c r="E366" s="77" t="s">
        <v>1676</v>
      </c>
      <c r="F366" s="79" t="s">
        <v>159</v>
      </c>
      <c r="G366" s="79" t="s">
        <v>1656</v>
      </c>
      <c r="H366" s="79" t="s">
        <v>1650</v>
      </c>
      <c r="I366" s="79" t="s">
        <v>379</v>
      </c>
      <c r="J366" s="80">
        <v>9</v>
      </c>
      <c r="K366" s="80">
        <v>186.93</v>
      </c>
      <c r="L366" s="80" t="s">
        <v>1793</v>
      </c>
      <c r="M366" s="80" t="s">
        <v>1794</v>
      </c>
      <c r="N366" s="80" t="s">
        <v>1799</v>
      </c>
      <c r="O366" s="80">
        <v>169.97</v>
      </c>
      <c r="P366" s="80"/>
      <c r="Q366" s="80">
        <f t="shared" si="19"/>
        <v>169.97</v>
      </c>
      <c r="R366" s="80">
        <v>151.51</v>
      </c>
      <c r="S366" s="80">
        <v>9</v>
      </c>
      <c r="T366" s="56" t="s">
        <v>142</v>
      </c>
      <c r="U366" s="56" t="s">
        <v>261</v>
      </c>
    </row>
    <row r="367" spans="1:21" ht="114.75">
      <c r="A367" s="77">
        <v>25</v>
      </c>
      <c r="B367" s="79" t="s">
        <v>313</v>
      </c>
      <c r="C367" s="77" t="s">
        <v>18</v>
      </c>
      <c r="D367" s="39" t="s">
        <v>1800</v>
      </c>
      <c r="E367" s="77" t="s">
        <v>1667</v>
      </c>
      <c r="F367" s="79" t="s">
        <v>159</v>
      </c>
      <c r="G367" s="79" t="s">
        <v>1656</v>
      </c>
      <c r="H367" s="79" t="s">
        <v>1660</v>
      </c>
      <c r="I367" s="79" t="s">
        <v>338</v>
      </c>
      <c r="J367" s="80">
        <v>6</v>
      </c>
      <c r="K367" s="80">
        <v>159.05</v>
      </c>
      <c r="L367" s="80" t="s">
        <v>1801</v>
      </c>
      <c r="M367" s="80" t="s">
        <v>1802</v>
      </c>
      <c r="N367" s="80" t="s">
        <v>278</v>
      </c>
      <c r="O367" s="80">
        <v>150.43</v>
      </c>
      <c r="P367" s="80"/>
      <c r="Q367" s="80">
        <f t="shared" si="19"/>
        <v>150.43</v>
      </c>
      <c r="R367" s="80">
        <v>148</v>
      </c>
      <c r="S367" s="80">
        <v>6</v>
      </c>
      <c r="T367" s="56" t="s">
        <v>142</v>
      </c>
      <c r="U367" s="56" t="s">
        <v>261</v>
      </c>
    </row>
    <row r="368" spans="1:21" ht="114.75">
      <c r="A368" s="77">
        <v>26</v>
      </c>
      <c r="B368" s="79" t="s">
        <v>313</v>
      </c>
      <c r="C368" s="77" t="s">
        <v>18</v>
      </c>
      <c r="D368" s="39" t="s">
        <v>1807</v>
      </c>
      <c r="E368" s="77" t="s">
        <v>1760</v>
      </c>
      <c r="F368" s="79" t="s">
        <v>159</v>
      </c>
      <c r="G368" s="79" t="s">
        <v>1656</v>
      </c>
      <c r="H368" s="79" t="s">
        <v>1660</v>
      </c>
      <c r="I368" s="79" t="s">
        <v>1808</v>
      </c>
      <c r="J368" s="80">
        <v>5</v>
      </c>
      <c r="K368" s="80">
        <v>135.66</v>
      </c>
      <c r="L368" s="80" t="s">
        <v>1809</v>
      </c>
      <c r="M368" s="80" t="s">
        <v>1810</v>
      </c>
      <c r="N368" s="80" t="s">
        <v>268</v>
      </c>
      <c r="O368" s="80">
        <v>130.35</v>
      </c>
      <c r="P368" s="80"/>
      <c r="Q368" s="80">
        <f t="shared" si="19"/>
        <v>130.35</v>
      </c>
      <c r="R368" s="80">
        <f>126.66+0</f>
        <v>126.66</v>
      </c>
      <c r="S368" s="80">
        <v>5</v>
      </c>
      <c r="T368" s="57" t="s">
        <v>142</v>
      </c>
      <c r="U368" s="56" t="s">
        <v>261</v>
      </c>
    </row>
    <row r="369" spans="1:21" ht="178.5">
      <c r="A369" s="77">
        <v>14</v>
      </c>
      <c r="B369" s="79" t="s">
        <v>313</v>
      </c>
      <c r="C369" s="77" t="s">
        <v>18</v>
      </c>
      <c r="D369" s="69" t="s">
        <v>1811</v>
      </c>
      <c r="E369" s="77" t="s">
        <v>1765</v>
      </c>
      <c r="F369" s="79" t="s">
        <v>175</v>
      </c>
      <c r="G369" s="111" t="s">
        <v>18</v>
      </c>
      <c r="H369" s="79" t="s">
        <v>1650</v>
      </c>
      <c r="I369" s="111" t="s">
        <v>1812</v>
      </c>
      <c r="J369" s="115" t="s">
        <v>141</v>
      </c>
      <c r="K369" s="80">
        <v>79.85</v>
      </c>
      <c r="L369" s="80" t="s">
        <v>987</v>
      </c>
      <c r="M369" s="80" t="s">
        <v>1813</v>
      </c>
      <c r="N369" s="80" t="s">
        <v>278</v>
      </c>
      <c r="O369" s="80">
        <v>64.72</v>
      </c>
      <c r="P369" s="80"/>
      <c r="Q369" s="80">
        <f>SUM(O369:P369)</f>
        <v>64.72</v>
      </c>
      <c r="R369" s="80">
        <v>64.65</v>
      </c>
      <c r="S369" s="80" t="s">
        <v>141</v>
      </c>
      <c r="T369" s="56" t="s">
        <v>142</v>
      </c>
      <c r="U369" s="56" t="s">
        <v>976</v>
      </c>
    </row>
    <row r="370" spans="1:21" ht="76.5">
      <c r="A370" s="77">
        <v>27</v>
      </c>
      <c r="B370" s="79" t="s">
        <v>395</v>
      </c>
      <c r="C370" s="77" t="s">
        <v>18</v>
      </c>
      <c r="D370" s="136" t="s">
        <v>1814</v>
      </c>
      <c r="E370" s="60" t="s">
        <v>1649</v>
      </c>
      <c r="F370" s="60" t="s">
        <v>159</v>
      </c>
      <c r="G370" s="129" t="s">
        <v>1656</v>
      </c>
      <c r="H370" s="61" t="s">
        <v>1650</v>
      </c>
      <c r="I370" s="40" t="s">
        <v>1050</v>
      </c>
      <c r="J370" s="40">
        <v>4.15</v>
      </c>
      <c r="K370" s="40">
        <v>155.46</v>
      </c>
      <c r="L370" s="61" t="s">
        <v>408</v>
      </c>
      <c r="M370" s="61" t="s">
        <v>1815</v>
      </c>
      <c r="N370" s="40" t="s">
        <v>1058</v>
      </c>
      <c r="O370" s="77"/>
      <c r="P370" s="77"/>
      <c r="Q370" s="40">
        <v>164.39</v>
      </c>
      <c r="R370" s="40">
        <v>127.08</v>
      </c>
      <c r="S370" s="61">
        <v>4.08</v>
      </c>
      <c r="T370" s="62" t="s">
        <v>397</v>
      </c>
      <c r="U370" s="77"/>
    </row>
    <row r="371" spans="1:21" ht="76.5">
      <c r="A371" s="77">
        <v>5</v>
      </c>
      <c r="B371" s="79" t="s">
        <v>395</v>
      </c>
      <c r="C371" s="77" t="s">
        <v>18</v>
      </c>
      <c r="D371" s="136" t="s">
        <v>1817</v>
      </c>
      <c r="E371" s="60" t="s">
        <v>1655</v>
      </c>
      <c r="F371" s="60" t="s">
        <v>159</v>
      </c>
      <c r="G371" s="60" t="s">
        <v>1708</v>
      </c>
      <c r="H371" s="40" t="s">
        <v>1650</v>
      </c>
      <c r="I371" s="40" t="s">
        <v>1050</v>
      </c>
      <c r="J371" s="40">
        <v>7.75</v>
      </c>
      <c r="K371" s="40">
        <v>300.7</v>
      </c>
      <c r="L371" s="40" t="s">
        <v>1818</v>
      </c>
      <c r="M371" s="40" t="s">
        <v>1819</v>
      </c>
      <c r="N371" s="61" t="s">
        <v>666</v>
      </c>
      <c r="O371" s="77"/>
      <c r="P371" s="77"/>
      <c r="Q371" s="40">
        <v>300.08</v>
      </c>
      <c r="R371" s="40">
        <v>254.11</v>
      </c>
      <c r="S371" s="40">
        <v>7.75</v>
      </c>
      <c r="T371" s="62" t="s">
        <v>397</v>
      </c>
      <c r="U371" s="77"/>
    </row>
    <row r="372" spans="1:21" ht="114.75">
      <c r="A372" s="77">
        <v>28</v>
      </c>
      <c r="B372" s="79" t="s">
        <v>395</v>
      </c>
      <c r="C372" s="77" t="s">
        <v>18</v>
      </c>
      <c r="D372" s="136" t="s">
        <v>1820</v>
      </c>
      <c r="E372" s="60" t="s">
        <v>1676</v>
      </c>
      <c r="F372" s="60" t="s">
        <v>159</v>
      </c>
      <c r="G372" s="60" t="s">
        <v>1656</v>
      </c>
      <c r="H372" s="61" t="s">
        <v>1660</v>
      </c>
      <c r="I372" s="40" t="s">
        <v>1821</v>
      </c>
      <c r="J372" s="40">
        <v>5</v>
      </c>
      <c r="K372" s="40">
        <v>170.67</v>
      </c>
      <c r="L372" s="40" t="s">
        <v>1822</v>
      </c>
      <c r="M372" s="40" t="s">
        <v>1823</v>
      </c>
      <c r="N372" s="40" t="s">
        <v>736</v>
      </c>
      <c r="O372" s="77"/>
      <c r="P372" s="77"/>
      <c r="Q372" s="40">
        <v>146.48</v>
      </c>
      <c r="R372" s="40">
        <v>135.17</v>
      </c>
      <c r="S372" s="40">
        <v>5</v>
      </c>
      <c r="T372" s="62" t="s">
        <v>397</v>
      </c>
      <c r="U372" s="77"/>
    </row>
    <row r="373" spans="1:21" ht="114.75">
      <c r="A373" s="77">
        <v>29</v>
      </c>
      <c r="B373" s="79" t="s">
        <v>395</v>
      </c>
      <c r="C373" s="77" t="s">
        <v>18</v>
      </c>
      <c r="D373" s="130" t="s">
        <v>1824</v>
      </c>
      <c r="E373" s="60" t="s">
        <v>1667</v>
      </c>
      <c r="F373" s="60" t="s">
        <v>159</v>
      </c>
      <c r="G373" s="60" t="s">
        <v>1656</v>
      </c>
      <c r="H373" s="61" t="s">
        <v>1660</v>
      </c>
      <c r="I373" s="40" t="s">
        <v>379</v>
      </c>
      <c r="J373" s="40">
        <v>12</v>
      </c>
      <c r="K373" s="40">
        <v>396.82</v>
      </c>
      <c r="L373" s="40" t="s">
        <v>1825</v>
      </c>
      <c r="M373" s="40" t="s">
        <v>1826</v>
      </c>
      <c r="N373" s="40" t="s">
        <v>676</v>
      </c>
      <c r="O373" s="77"/>
      <c r="P373" s="77"/>
      <c r="Q373" s="40">
        <v>389.32</v>
      </c>
      <c r="R373" s="40">
        <f>359.56</f>
        <v>359.56</v>
      </c>
      <c r="S373" s="40">
        <v>12</v>
      </c>
      <c r="T373" s="62" t="s">
        <v>397</v>
      </c>
      <c r="U373" s="77"/>
    </row>
    <row r="374" spans="1:21" ht="89.25">
      <c r="A374" s="77">
        <v>30</v>
      </c>
      <c r="B374" s="79" t="s">
        <v>395</v>
      </c>
      <c r="C374" s="77" t="s">
        <v>18</v>
      </c>
      <c r="D374" s="136" t="s">
        <v>1827</v>
      </c>
      <c r="E374" s="60" t="s">
        <v>1670</v>
      </c>
      <c r="F374" s="60" t="s">
        <v>159</v>
      </c>
      <c r="G374" s="60" t="s">
        <v>1656</v>
      </c>
      <c r="H374" s="61" t="s">
        <v>1660</v>
      </c>
      <c r="I374" s="40" t="s">
        <v>1289</v>
      </c>
      <c r="J374" s="40">
        <v>6.25</v>
      </c>
      <c r="K374" s="40">
        <v>196.45</v>
      </c>
      <c r="L374" s="40" t="s">
        <v>1825</v>
      </c>
      <c r="M374" s="40" t="s">
        <v>1826</v>
      </c>
      <c r="N374" s="40" t="s">
        <v>268</v>
      </c>
      <c r="O374" s="77"/>
      <c r="P374" s="77"/>
      <c r="Q374" s="40">
        <v>173.3</v>
      </c>
      <c r="R374" s="40">
        <f>151.15+8.59</f>
        <v>159.74</v>
      </c>
      <c r="S374" s="40">
        <v>6.25</v>
      </c>
      <c r="T374" s="62" t="s">
        <v>397</v>
      </c>
      <c r="U374" s="77"/>
    </row>
    <row r="375" spans="1:21" ht="76.5">
      <c r="A375" s="77">
        <v>31</v>
      </c>
      <c r="B375" s="79" t="s">
        <v>395</v>
      </c>
      <c r="C375" s="77" t="s">
        <v>18</v>
      </c>
      <c r="D375" s="136" t="s">
        <v>1828</v>
      </c>
      <c r="E375" s="60" t="s">
        <v>1672</v>
      </c>
      <c r="F375" s="60" t="s">
        <v>159</v>
      </c>
      <c r="G375" s="60" t="s">
        <v>1656</v>
      </c>
      <c r="H375" s="61" t="s">
        <v>1660</v>
      </c>
      <c r="I375" s="40" t="s">
        <v>407</v>
      </c>
      <c r="J375" s="40">
        <v>11</v>
      </c>
      <c r="K375" s="40">
        <v>330.74</v>
      </c>
      <c r="L375" s="40" t="s">
        <v>651</v>
      </c>
      <c r="M375" s="40" t="s">
        <v>652</v>
      </c>
      <c r="N375" s="40" t="s">
        <v>268</v>
      </c>
      <c r="O375" s="77"/>
      <c r="P375" s="77"/>
      <c r="Q375" s="40">
        <v>335.57</v>
      </c>
      <c r="R375" s="40">
        <f>282.89+7.96</f>
        <v>290.84999999999997</v>
      </c>
      <c r="S375" s="40">
        <v>11</v>
      </c>
      <c r="T375" s="62" t="s">
        <v>397</v>
      </c>
      <c r="U375" s="77"/>
    </row>
    <row r="376" spans="1:21" ht="76.5">
      <c r="A376" s="77">
        <v>32</v>
      </c>
      <c r="B376" s="79" t="s">
        <v>395</v>
      </c>
      <c r="C376" s="77" t="s">
        <v>18</v>
      </c>
      <c r="D376" s="136" t="s">
        <v>1829</v>
      </c>
      <c r="E376" s="60" t="s">
        <v>1718</v>
      </c>
      <c r="F376" s="60" t="s">
        <v>159</v>
      </c>
      <c r="G376" s="60" t="s">
        <v>1656</v>
      </c>
      <c r="H376" s="61" t="s">
        <v>1660</v>
      </c>
      <c r="I376" s="40" t="s">
        <v>1830</v>
      </c>
      <c r="J376" s="40">
        <v>26.28</v>
      </c>
      <c r="K376" s="40">
        <v>895.39</v>
      </c>
      <c r="L376" s="40" t="s">
        <v>1831</v>
      </c>
      <c r="M376" s="40" t="s">
        <v>1832</v>
      </c>
      <c r="N376" s="40" t="s">
        <v>1013</v>
      </c>
      <c r="O376" s="77"/>
      <c r="P376" s="77"/>
      <c r="Q376" s="40">
        <v>836.12</v>
      </c>
      <c r="R376" s="40">
        <v>833.63</v>
      </c>
      <c r="S376" s="40">
        <v>26.28</v>
      </c>
      <c r="T376" s="62" t="s">
        <v>397</v>
      </c>
      <c r="U376" s="77"/>
    </row>
    <row r="377" spans="1:21" ht="140.25">
      <c r="A377" s="77">
        <v>15</v>
      </c>
      <c r="B377" s="79" t="s">
        <v>415</v>
      </c>
      <c r="C377" s="77" t="s">
        <v>18</v>
      </c>
      <c r="D377" s="64" t="s">
        <v>1833</v>
      </c>
      <c r="E377" s="60" t="s">
        <v>1649</v>
      </c>
      <c r="F377" s="60" t="s">
        <v>135</v>
      </c>
      <c r="G377" s="60" t="s">
        <v>18</v>
      </c>
      <c r="H377" s="41" t="s">
        <v>1650</v>
      </c>
      <c r="I377" s="41" t="s">
        <v>379</v>
      </c>
      <c r="J377" s="40">
        <v>7</v>
      </c>
      <c r="K377" s="40">
        <v>338.32</v>
      </c>
      <c r="L377" s="63" t="s">
        <v>1834</v>
      </c>
      <c r="M377" s="63" t="s">
        <v>1835</v>
      </c>
      <c r="N377" s="63" t="s">
        <v>1013</v>
      </c>
      <c r="O377" s="77"/>
      <c r="P377" s="77"/>
      <c r="Q377" s="78">
        <v>295.12</v>
      </c>
      <c r="R377" s="78">
        <v>205.4</v>
      </c>
      <c r="S377" s="78">
        <v>7</v>
      </c>
      <c r="T377" s="65" t="s">
        <v>397</v>
      </c>
      <c r="U377" s="63" t="s">
        <v>141</v>
      </c>
    </row>
    <row r="378" spans="1:21" ht="89.25">
      <c r="A378" s="77">
        <v>6</v>
      </c>
      <c r="B378" s="79" t="s">
        <v>415</v>
      </c>
      <c r="C378" s="77" t="s">
        <v>18</v>
      </c>
      <c r="D378" s="64" t="s">
        <v>1836</v>
      </c>
      <c r="E378" s="60" t="s">
        <v>1652</v>
      </c>
      <c r="F378" s="60" t="s">
        <v>159</v>
      </c>
      <c r="G378" s="60" t="s">
        <v>1708</v>
      </c>
      <c r="H378" s="41" t="s">
        <v>1650</v>
      </c>
      <c r="I378" s="41" t="s">
        <v>1837</v>
      </c>
      <c r="J378" s="40">
        <v>5</v>
      </c>
      <c r="K378" s="40">
        <v>161.35</v>
      </c>
      <c r="L378" s="63" t="s">
        <v>1838</v>
      </c>
      <c r="M378" s="63" t="s">
        <v>1839</v>
      </c>
      <c r="N378" s="63" t="s">
        <v>268</v>
      </c>
      <c r="O378" s="77"/>
      <c r="P378" s="77"/>
      <c r="Q378" s="78">
        <v>182.26</v>
      </c>
      <c r="R378" s="78">
        <v>165.26</v>
      </c>
      <c r="S378" s="78">
        <v>5</v>
      </c>
      <c r="T378" s="65" t="s">
        <v>397</v>
      </c>
      <c r="U378" s="63" t="s">
        <v>141</v>
      </c>
    </row>
    <row r="379" spans="1:21" ht="63.75">
      <c r="A379" s="77">
        <v>16</v>
      </c>
      <c r="B379" s="79" t="s">
        <v>415</v>
      </c>
      <c r="C379" s="77" t="s">
        <v>18</v>
      </c>
      <c r="D379" s="64" t="s">
        <v>1840</v>
      </c>
      <c r="E379" s="60" t="s">
        <v>1655</v>
      </c>
      <c r="F379" s="60" t="s">
        <v>159</v>
      </c>
      <c r="G379" s="60" t="s">
        <v>18</v>
      </c>
      <c r="H379" s="41" t="s">
        <v>1650</v>
      </c>
      <c r="I379" s="41" t="s">
        <v>1837</v>
      </c>
      <c r="J379" s="40">
        <v>6</v>
      </c>
      <c r="K379" s="40">
        <v>241.06</v>
      </c>
      <c r="L379" s="63" t="s">
        <v>1841</v>
      </c>
      <c r="M379" s="63" t="s">
        <v>1842</v>
      </c>
      <c r="N379" s="63" t="s">
        <v>1013</v>
      </c>
      <c r="O379" s="77"/>
      <c r="P379" s="77"/>
      <c r="Q379" s="78">
        <v>239.49</v>
      </c>
      <c r="R379" s="78">
        <v>155.7</v>
      </c>
      <c r="S379" s="78">
        <v>6</v>
      </c>
      <c r="T379" s="65" t="s">
        <v>397</v>
      </c>
      <c r="U379" s="63" t="s">
        <v>141</v>
      </c>
    </row>
    <row r="380" spans="1:21" ht="105" customHeight="1">
      <c r="A380" s="77">
        <v>33</v>
      </c>
      <c r="B380" s="79" t="s">
        <v>415</v>
      </c>
      <c r="C380" s="77" t="s">
        <v>18</v>
      </c>
      <c r="D380" s="64" t="s">
        <v>1848</v>
      </c>
      <c r="E380" s="146" t="s">
        <v>1667</v>
      </c>
      <c r="F380" s="60" t="s">
        <v>175</v>
      </c>
      <c r="G380" s="60" t="s">
        <v>1656</v>
      </c>
      <c r="H380" s="41" t="s">
        <v>1660</v>
      </c>
      <c r="I380" s="41" t="s">
        <v>1849</v>
      </c>
      <c r="J380" s="40" t="s">
        <v>141</v>
      </c>
      <c r="K380" s="40">
        <v>101.05</v>
      </c>
      <c r="L380" s="63" t="s">
        <v>1841</v>
      </c>
      <c r="M380" s="63" t="s">
        <v>1842</v>
      </c>
      <c r="N380" s="63" t="s">
        <v>1242</v>
      </c>
      <c r="O380" s="77"/>
      <c r="P380" s="77"/>
      <c r="Q380" s="78">
        <v>100.06</v>
      </c>
      <c r="R380" s="78">
        <v>84.06</v>
      </c>
      <c r="S380" s="78" t="s">
        <v>141</v>
      </c>
      <c r="T380" s="65" t="s">
        <v>397</v>
      </c>
      <c r="U380" s="63" t="s">
        <v>141</v>
      </c>
    </row>
    <row r="381" spans="1:21" ht="57">
      <c r="A381" s="77">
        <v>1</v>
      </c>
      <c r="B381" s="79" t="s">
        <v>135</v>
      </c>
      <c r="C381" s="77" t="s">
        <v>19</v>
      </c>
      <c r="D381" s="36" t="s">
        <v>1862</v>
      </c>
      <c r="E381" s="77" t="s">
        <v>1863</v>
      </c>
      <c r="F381" s="79" t="s">
        <v>391</v>
      </c>
      <c r="G381" s="44" t="s">
        <v>19</v>
      </c>
      <c r="H381" s="80" t="s">
        <v>1864</v>
      </c>
      <c r="I381" s="90"/>
      <c r="J381" s="86">
        <v>5.5</v>
      </c>
      <c r="K381" s="86">
        <v>139</v>
      </c>
      <c r="L381" s="42" t="s">
        <v>1865</v>
      </c>
      <c r="M381" s="42" t="s">
        <v>1866</v>
      </c>
      <c r="N381" s="58" t="s">
        <v>1866</v>
      </c>
      <c r="O381" s="86">
        <v>129.21</v>
      </c>
      <c r="P381" s="77"/>
      <c r="Q381" s="77"/>
      <c r="R381" s="86">
        <v>139</v>
      </c>
      <c r="S381" s="86">
        <v>5.5</v>
      </c>
      <c r="T381" s="85" t="s">
        <v>142</v>
      </c>
      <c r="U381" s="85" t="s">
        <v>143</v>
      </c>
    </row>
    <row r="382" spans="1:21" ht="71.25">
      <c r="A382" s="77">
        <v>1</v>
      </c>
      <c r="B382" s="79" t="s">
        <v>135</v>
      </c>
      <c r="C382" s="77" t="s">
        <v>19</v>
      </c>
      <c r="D382" s="36" t="s">
        <v>1867</v>
      </c>
      <c r="E382" s="77" t="s">
        <v>1868</v>
      </c>
      <c r="F382" s="79" t="s">
        <v>138</v>
      </c>
      <c r="G382" s="44" t="s">
        <v>1869</v>
      </c>
      <c r="H382" s="80" t="s">
        <v>1869</v>
      </c>
      <c r="I382" s="90"/>
      <c r="J382" s="86">
        <v>5.5</v>
      </c>
      <c r="K382" s="86">
        <v>100</v>
      </c>
      <c r="L382" s="42" t="s">
        <v>1865</v>
      </c>
      <c r="M382" s="42" t="s">
        <v>1866</v>
      </c>
      <c r="N382" s="58" t="s">
        <v>1866</v>
      </c>
      <c r="O382" s="86">
        <v>99.7</v>
      </c>
      <c r="P382" s="77"/>
      <c r="Q382" s="77"/>
      <c r="R382" s="86">
        <v>96.35</v>
      </c>
      <c r="S382" s="86">
        <v>5.5</v>
      </c>
      <c r="T382" s="85" t="s">
        <v>142</v>
      </c>
      <c r="U382" s="85" t="s">
        <v>143</v>
      </c>
    </row>
    <row r="383" spans="1:21" ht="85.5">
      <c r="A383" s="77">
        <v>1</v>
      </c>
      <c r="B383" s="79" t="s">
        <v>135</v>
      </c>
      <c r="C383" s="77" t="s">
        <v>19</v>
      </c>
      <c r="D383" s="36" t="s">
        <v>1870</v>
      </c>
      <c r="E383" s="77" t="s">
        <v>1871</v>
      </c>
      <c r="F383" s="79" t="s">
        <v>138</v>
      </c>
      <c r="G383" s="44" t="s">
        <v>1872</v>
      </c>
      <c r="H383" s="80" t="s">
        <v>1873</v>
      </c>
      <c r="I383" s="90"/>
      <c r="J383" s="86">
        <v>8</v>
      </c>
      <c r="K383" s="86">
        <v>148.8</v>
      </c>
      <c r="L383" s="42" t="s">
        <v>1874</v>
      </c>
      <c r="M383" s="42" t="s">
        <v>1875</v>
      </c>
      <c r="N383" s="58" t="s">
        <v>1866</v>
      </c>
      <c r="O383" s="86">
        <v>146.6</v>
      </c>
      <c r="P383" s="77"/>
      <c r="Q383" s="77"/>
      <c r="R383" s="86">
        <v>149.97</v>
      </c>
      <c r="S383" s="86">
        <v>8</v>
      </c>
      <c r="T383" s="85" t="s">
        <v>142</v>
      </c>
      <c r="U383" s="85" t="s">
        <v>143</v>
      </c>
    </row>
    <row r="384" spans="1:21" ht="85.5">
      <c r="A384" s="77">
        <v>2</v>
      </c>
      <c r="B384" s="79" t="s">
        <v>135</v>
      </c>
      <c r="C384" s="77" t="s">
        <v>19</v>
      </c>
      <c r="D384" s="36" t="s">
        <v>1876</v>
      </c>
      <c r="E384" s="77" t="s">
        <v>1877</v>
      </c>
      <c r="F384" s="79" t="s">
        <v>138</v>
      </c>
      <c r="G384" s="44" t="s">
        <v>1872</v>
      </c>
      <c r="H384" s="80" t="s">
        <v>1873</v>
      </c>
      <c r="I384" s="149" t="s">
        <v>1878</v>
      </c>
      <c r="J384" s="86">
        <v>10</v>
      </c>
      <c r="K384" s="86">
        <v>186</v>
      </c>
      <c r="L384" s="42" t="s">
        <v>1879</v>
      </c>
      <c r="M384" s="42" t="s">
        <v>1875</v>
      </c>
      <c r="N384" s="58" t="s">
        <v>1866</v>
      </c>
      <c r="O384" s="86">
        <v>165.6</v>
      </c>
      <c r="P384" s="77"/>
      <c r="Q384" s="77"/>
      <c r="R384" s="86">
        <f>3.37+181.65</f>
        <v>185.02</v>
      </c>
      <c r="S384" s="86">
        <v>10</v>
      </c>
      <c r="T384" s="85" t="s">
        <v>142</v>
      </c>
      <c r="U384" s="85" t="s">
        <v>143</v>
      </c>
    </row>
    <row r="385" spans="1:21" ht="42.75">
      <c r="A385" s="77">
        <v>3</v>
      </c>
      <c r="B385" s="79" t="s">
        <v>157</v>
      </c>
      <c r="C385" s="77" t="s">
        <v>19</v>
      </c>
      <c r="D385" s="46" t="s">
        <v>1880</v>
      </c>
      <c r="E385" s="84" t="s">
        <v>1863</v>
      </c>
      <c r="F385" s="79" t="s">
        <v>159</v>
      </c>
      <c r="G385" s="47" t="s">
        <v>1872</v>
      </c>
      <c r="H385" s="47" t="s">
        <v>1864</v>
      </c>
      <c r="I385" s="47"/>
      <c r="J385" s="78">
        <v>6</v>
      </c>
      <c r="K385" s="78">
        <v>135.02</v>
      </c>
      <c r="L385" s="42"/>
      <c r="M385" s="42"/>
      <c r="N385" s="87" t="s">
        <v>1881</v>
      </c>
      <c r="O385" s="78"/>
      <c r="P385" s="78"/>
      <c r="Q385" s="78"/>
      <c r="R385" s="78">
        <f>127.76+8.83</f>
        <v>136.59</v>
      </c>
      <c r="S385" s="78">
        <v>6</v>
      </c>
      <c r="T385" s="49" t="s">
        <v>142</v>
      </c>
      <c r="U385" s="85" t="s">
        <v>143</v>
      </c>
    </row>
    <row r="386" spans="1:21" ht="71.25">
      <c r="A386" s="77">
        <v>4</v>
      </c>
      <c r="B386" s="79" t="s">
        <v>157</v>
      </c>
      <c r="C386" s="77" t="s">
        <v>19</v>
      </c>
      <c r="D386" s="46" t="s">
        <v>1882</v>
      </c>
      <c r="E386" s="84" t="s">
        <v>1871</v>
      </c>
      <c r="F386" s="79" t="s">
        <v>159</v>
      </c>
      <c r="G386" s="47" t="s">
        <v>1872</v>
      </c>
      <c r="H386" s="47" t="s">
        <v>1883</v>
      </c>
      <c r="I386" s="47"/>
      <c r="J386" s="78">
        <v>10</v>
      </c>
      <c r="K386" s="78">
        <v>252.4</v>
      </c>
      <c r="L386" s="42"/>
      <c r="M386" s="42"/>
      <c r="N386" s="87" t="s">
        <v>1884</v>
      </c>
      <c r="O386" s="78"/>
      <c r="P386" s="78"/>
      <c r="Q386" s="78"/>
      <c r="R386" s="78">
        <v>223.79</v>
      </c>
      <c r="S386" s="78">
        <v>10</v>
      </c>
      <c r="T386" s="49" t="s">
        <v>142</v>
      </c>
      <c r="U386" s="85" t="s">
        <v>143</v>
      </c>
    </row>
    <row r="387" spans="1:21" ht="57">
      <c r="A387" s="77">
        <v>2</v>
      </c>
      <c r="B387" s="79" t="s">
        <v>157</v>
      </c>
      <c r="C387" s="77" t="s">
        <v>19</v>
      </c>
      <c r="D387" s="46" t="s">
        <v>1885</v>
      </c>
      <c r="E387" s="84" t="s">
        <v>1877</v>
      </c>
      <c r="F387" s="79" t="s">
        <v>159</v>
      </c>
      <c r="G387" s="47" t="s">
        <v>1869</v>
      </c>
      <c r="H387" s="47" t="s">
        <v>1869</v>
      </c>
      <c r="I387" s="47"/>
      <c r="J387" s="78">
        <v>11.6</v>
      </c>
      <c r="K387" s="78">
        <v>459.17</v>
      </c>
      <c r="L387" s="42"/>
      <c r="M387" s="42"/>
      <c r="N387" s="87" t="s">
        <v>1884</v>
      </c>
      <c r="O387" s="78"/>
      <c r="P387" s="78"/>
      <c r="Q387" s="78"/>
      <c r="R387" s="78">
        <v>337.38</v>
      </c>
      <c r="S387" s="78">
        <v>11.6</v>
      </c>
      <c r="T387" s="49" t="s">
        <v>142</v>
      </c>
      <c r="U387" s="85" t="s">
        <v>143</v>
      </c>
    </row>
    <row r="388" spans="1:21" ht="90">
      <c r="A388" s="77">
        <v>3</v>
      </c>
      <c r="B388" s="79" t="s">
        <v>176</v>
      </c>
      <c r="C388" s="77" t="s">
        <v>19</v>
      </c>
      <c r="D388" s="37" t="s">
        <v>1886</v>
      </c>
      <c r="E388" s="84" t="s">
        <v>1868</v>
      </c>
      <c r="F388" s="79" t="s">
        <v>159</v>
      </c>
      <c r="G388" s="79" t="s">
        <v>1869</v>
      </c>
      <c r="H388" s="79" t="s">
        <v>1869</v>
      </c>
      <c r="I388" s="47" t="s">
        <v>1887</v>
      </c>
      <c r="J388" s="51">
        <v>14</v>
      </c>
      <c r="K388" s="51">
        <v>315.06</v>
      </c>
      <c r="L388" s="42" t="s">
        <v>1216</v>
      </c>
      <c r="M388" s="42" t="s">
        <v>1213</v>
      </c>
      <c r="N388" s="125" t="s">
        <v>1888</v>
      </c>
      <c r="O388" s="51">
        <v>405.7</v>
      </c>
      <c r="P388" s="51">
        <v>49.61</v>
      </c>
      <c r="Q388" s="51">
        <f>SUM(O388:P388)</f>
        <v>455.31</v>
      </c>
      <c r="R388" s="51">
        <v>560.44</v>
      </c>
      <c r="S388" s="51">
        <v>14</v>
      </c>
      <c r="T388" s="83" t="s">
        <v>142</v>
      </c>
      <c r="U388" s="85" t="s">
        <v>143</v>
      </c>
    </row>
    <row r="389" spans="1:21" ht="75">
      <c r="A389" s="77">
        <v>1</v>
      </c>
      <c r="B389" s="79" t="s">
        <v>176</v>
      </c>
      <c r="C389" s="77" t="s">
        <v>19</v>
      </c>
      <c r="D389" s="37" t="s">
        <v>1889</v>
      </c>
      <c r="E389" s="84" t="s">
        <v>1890</v>
      </c>
      <c r="F389" s="79" t="s">
        <v>175</v>
      </c>
      <c r="G389" s="79" t="s">
        <v>1891</v>
      </c>
      <c r="H389" s="47" t="s">
        <v>1883</v>
      </c>
      <c r="I389" s="79" t="s">
        <v>1892</v>
      </c>
      <c r="J389" s="51" t="s">
        <v>141</v>
      </c>
      <c r="K389" s="51">
        <v>90</v>
      </c>
      <c r="L389" s="42" t="s">
        <v>1893</v>
      </c>
      <c r="M389" s="42" t="s">
        <v>1894</v>
      </c>
      <c r="N389" s="125" t="s">
        <v>1895</v>
      </c>
      <c r="O389" s="51">
        <v>81.17</v>
      </c>
      <c r="P389" s="51"/>
      <c r="Q389" s="51">
        <f>SUM(O389:P389)</f>
        <v>81.17</v>
      </c>
      <c r="R389" s="51">
        <f>68.88+8.83</f>
        <v>77.71</v>
      </c>
      <c r="S389" s="51">
        <v>0</v>
      </c>
      <c r="T389" s="83" t="s">
        <v>142</v>
      </c>
      <c r="U389" s="85" t="s">
        <v>143</v>
      </c>
    </row>
    <row r="390" spans="1:21" ht="57">
      <c r="A390" s="77">
        <v>2</v>
      </c>
      <c r="B390" s="79" t="s">
        <v>185</v>
      </c>
      <c r="C390" s="77" t="s">
        <v>19</v>
      </c>
      <c r="D390" s="36" t="s">
        <v>1896</v>
      </c>
      <c r="E390" s="204" t="s">
        <v>1863</v>
      </c>
      <c r="F390" s="79" t="s">
        <v>135</v>
      </c>
      <c r="G390" s="79" t="s">
        <v>19</v>
      </c>
      <c r="H390" s="79" t="s">
        <v>1869</v>
      </c>
      <c r="I390" s="183" t="s">
        <v>1897</v>
      </c>
      <c r="J390" s="51">
        <v>4.22</v>
      </c>
      <c r="K390" s="51">
        <v>49.38</v>
      </c>
      <c r="L390" s="42" t="s">
        <v>1898</v>
      </c>
      <c r="M390" s="42" t="s">
        <v>1899</v>
      </c>
      <c r="N390" s="199" t="s">
        <v>1884</v>
      </c>
      <c r="O390" s="86">
        <v>52.23</v>
      </c>
      <c r="P390" s="86">
        <v>0</v>
      </c>
      <c r="Q390" s="86">
        <f aca="true" t="shared" si="20" ref="Q390:Q395">SUM(O390:P390)</f>
        <v>52.23</v>
      </c>
      <c r="R390" s="86">
        <v>77.49</v>
      </c>
      <c r="S390" s="51">
        <v>4.22</v>
      </c>
      <c r="T390" s="83" t="s">
        <v>142</v>
      </c>
      <c r="U390" s="85" t="s">
        <v>143</v>
      </c>
    </row>
    <row r="391" spans="1:21" ht="71.25">
      <c r="A391" s="77">
        <v>3</v>
      </c>
      <c r="B391" s="79" t="s">
        <v>185</v>
      </c>
      <c r="C391" s="77" t="s">
        <v>19</v>
      </c>
      <c r="D391" s="36" t="s">
        <v>1900</v>
      </c>
      <c r="E391" s="204"/>
      <c r="F391" s="79" t="s">
        <v>135</v>
      </c>
      <c r="G391" s="79" t="s">
        <v>19</v>
      </c>
      <c r="H391" s="79" t="s">
        <v>1869</v>
      </c>
      <c r="I391" s="183"/>
      <c r="J391" s="51">
        <v>2.07</v>
      </c>
      <c r="K391" s="51">
        <v>20.4</v>
      </c>
      <c r="L391" s="42" t="s">
        <v>1898</v>
      </c>
      <c r="M391" s="42" t="s">
        <v>1899</v>
      </c>
      <c r="N391" s="199"/>
      <c r="O391" s="86">
        <v>21.74</v>
      </c>
      <c r="P391" s="86">
        <v>0</v>
      </c>
      <c r="Q391" s="86">
        <f t="shared" si="20"/>
        <v>21.74</v>
      </c>
      <c r="R391" s="86">
        <v>0.35</v>
      </c>
      <c r="S391" s="51">
        <v>2.07</v>
      </c>
      <c r="T391" s="83" t="s">
        <v>142</v>
      </c>
      <c r="U391" s="85" t="s">
        <v>143</v>
      </c>
    </row>
    <row r="392" spans="1:21" ht="71.25">
      <c r="A392" s="77">
        <v>5</v>
      </c>
      <c r="B392" s="79" t="s">
        <v>185</v>
      </c>
      <c r="C392" s="77" t="s">
        <v>19</v>
      </c>
      <c r="D392" s="36" t="s">
        <v>1901</v>
      </c>
      <c r="E392" s="84" t="s">
        <v>1868</v>
      </c>
      <c r="F392" s="79" t="s">
        <v>135</v>
      </c>
      <c r="G392" s="79" t="s">
        <v>1872</v>
      </c>
      <c r="H392" s="79" t="s">
        <v>1873</v>
      </c>
      <c r="I392" s="79" t="s">
        <v>1897</v>
      </c>
      <c r="J392" s="51">
        <v>4.35</v>
      </c>
      <c r="K392" s="51">
        <v>58.79</v>
      </c>
      <c r="L392" s="42" t="s">
        <v>1902</v>
      </c>
      <c r="M392" s="42" t="s">
        <v>1903</v>
      </c>
      <c r="N392" s="90" t="s">
        <v>1415</v>
      </c>
      <c r="O392" s="86">
        <v>58.79</v>
      </c>
      <c r="P392" s="86">
        <v>0</v>
      </c>
      <c r="Q392" s="86">
        <f t="shared" si="20"/>
        <v>58.79</v>
      </c>
      <c r="R392" s="86">
        <f>46.76+43.38</f>
        <v>90.14</v>
      </c>
      <c r="S392" s="51">
        <v>4.35</v>
      </c>
      <c r="T392" s="83" t="s">
        <v>142</v>
      </c>
      <c r="U392" s="85" t="s">
        <v>143</v>
      </c>
    </row>
    <row r="393" spans="1:21" ht="85.5">
      <c r="A393" s="77">
        <v>2</v>
      </c>
      <c r="B393" s="79" t="s">
        <v>185</v>
      </c>
      <c r="C393" s="77" t="s">
        <v>19</v>
      </c>
      <c r="D393" s="36" t="s">
        <v>1904</v>
      </c>
      <c r="E393" s="84" t="s">
        <v>1871</v>
      </c>
      <c r="F393" s="79" t="s">
        <v>135</v>
      </c>
      <c r="G393" s="79" t="s">
        <v>1891</v>
      </c>
      <c r="H393" s="47" t="s">
        <v>1883</v>
      </c>
      <c r="I393" s="79" t="s">
        <v>281</v>
      </c>
      <c r="J393" s="51">
        <v>18.79</v>
      </c>
      <c r="K393" s="51">
        <v>207.44</v>
      </c>
      <c r="L393" s="42" t="s">
        <v>1905</v>
      </c>
      <c r="M393" s="42" t="s">
        <v>568</v>
      </c>
      <c r="N393" s="90" t="s">
        <v>1906</v>
      </c>
      <c r="O393" s="86">
        <v>233.4</v>
      </c>
      <c r="P393" s="86">
        <v>0</v>
      </c>
      <c r="Q393" s="86">
        <f t="shared" si="20"/>
        <v>233.4</v>
      </c>
      <c r="R393" s="86">
        <f>225.66+2.79</f>
        <v>228.45</v>
      </c>
      <c r="S393" s="51">
        <v>18.79</v>
      </c>
      <c r="T393" s="83" t="s">
        <v>142</v>
      </c>
      <c r="U393" s="85" t="s">
        <v>143</v>
      </c>
    </row>
    <row r="394" spans="1:21" ht="71.25">
      <c r="A394" s="77">
        <v>3</v>
      </c>
      <c r="B394" s="79" t="s">
        <v>185</v>
      </c>
      <c r="C394" s="77" t="s">
        <v>19</v>
      </c>
      <c r="D394" s="36" t="s">
        <v>1907</v>
      </c>
      <c r="E394" s="84" t="s">
        <v>1877</v>
      </c>
      <c r="F394" s="79" t="s">
        <v>135</v>
      </c>
      <c r="G394" s="79" t="s">
        <v>1891</v>
      </c>
      <c r="H394" s="47" t="s">
        <v>1883</v>
      </c>
      <c r="I394" s="79" t="s">
        <v>1908</v>
      </c>
      <c r="J394" s="51">
        <v>8.28</v>
      </c>
      <c r="K394" s="51">
        <v>107.69</v>
      </c>
      <c r="L394" s="42" t="s">
        <v>1909</v>
      </c>
      <c r="M394" s="42" t="s">
        <v>1910</v>
      </c>
      <c r="N394" s="90" t="s">
        <v>230</v>
      </c>
      <c r="O394" s="86">
        <v>124.63</v>
      </c>
      <c r="P394" s="86">
        <v>0</v>
      </c>
      <c r="Q394" s="86">
        <f t="shared" si="20"/>
        <v>124.63</v>
      </c>
      <c r="R394" s="86">
        <f>82.64+34.23</f>
        <v>116.87</v>
      </c>
      <c r="S394" s="51">
        <v>8.28</v>
      </c>
      <c r="T394" s="83" t="s">
        <v>142</v>
      </c>
      <c r="U394" s="85" t="s">
        <v>143</v>
      </c>
    </row>
    <row r="395" spans="1:21" ht="57">
      <c r="A395" s="77">
        <v>4</v>
      </c>
      <c r="B395" s="79" t="s">
        <v>185</v>
      </c>
      <c r="C395" s="77" t="s">
        <v>19</v>
      </c>
      <c r="D395" s="36" t="s">
        <v>1911</v>
      </c>
      <c r="E395" s="84" t="s">
        <v>1890</v>
      </c>
      <c r="F395" s="79" t="s">
        <v>135</v>
      </c>
      <c r="G395" s="79" t="s">
        <v>1891</v>
      </c>
      <c r="H395" s="47" t="s">
        <v>1883</v>
      </c>
      <c r="I395" s="79" t="s">
        <v>1912</v>
      </c>
      <c r="J395" s="51">
        <v>22.4</v>
      </c>
      <c r="K395" s="51">
        <v>273.4</v>
      </c>
      <c r="L395" s="42" t="s">
        <v>1913</v>
      </c>
      <c r="M395" s="42" t="s">
        <v>1914</v>
      </c>
      <c r="N395" s="90" t="s">
        <v>1415</v>
      </c>
      <c r="O395" s="86">
        <v>426.03</v>
      </c>
      <c r="P395" s="86">
        <v>63</v>
      </c>
      <c r="Q395" s="86">
        <f t="shared" si="20"/>
        <v>489.03</v>
      </c>
      <c r="R395" s="86">
        <f>99.23+357.86</f>
        <v>457.09000000000003</v>
      </c>
      <c r="S395" s="51">
        <v>22.4</v>
      </c>
      <c r="T395" s="83" t="s">
        <v>142</v>
      </c>
      <c r="U395" s="85" t="s">
        <v>143</v>
      </c>
    </row>
    <row r="396" spans="1:21" ht="105">
      <c r="A396" s="77">
        <v>4</v>
      </c>
      <c r="B396" s="79" t="s">
        <v>202</v>
      </c>
      <c r="C396" s="77" t="s">
        <v>19</v>
      </c>
      <c r="D396" s="37" t="s">
        <v>1915</v>
      </c>
      <c r="E396" s="84" t="s">
        <v>1868</v>
      </c>
      <c r="F396" s="79" t="s">
        <v>135</v>
      </c>
      <c r="G396" s="79" t="s">
        <v>1869</v>
      </c>
      <c r="H396" s="79" t="s">
        <v>1869</v>
      </c>
      <c r="I396" s="79" t="s">
        <v>1783</v>
      </c>
      <c r="J396" s="80">
        <v>6.06</v>
      </c>
      <c r="K396" s="80">
        <v>52.86</v>
      </c>
      <c r="L396" s="42" t="s">
        <v>833</v>
      </c>
      <c r="M396" s="42" t="s">
        <v>1916</v>
      </c>
      <c r="N396" s="80" t="s">
        <v>543</v>
      </c>
      <c r="O396" s="80">
        <v>51.04</v>
      </c>
      <c r="P396" s="80">
        <v>27.4</v>
      </c>
      <c r="Q396" s="80">
        <f>SUM(O396:P396)</f>
        <v>78.44</v>
      </c>
      <c r="R396" s="80">
        <v>79.47</v>
      </c>
      <c r="S396" s="80">
        <v>6.06</v>
      </c>
      <c r="T396" s="85" t="s">
        <v>142</v>
      </c>
      <c r="U396" s="85" t="s">
        <v>1686</v>
      </c>
    </row>
    <row r="397" spans="1:21" ht="75">
      <c r="A397" s="77">
        <v>5</v>
      </c>
      <c r="B397" s="79" t="s">
        <v>202</v>
      </c>
      <c r="C397" s="77" t="s">
        <v>19</v>
      </c>
      <c r="D397" s="37" t="s">
        <v>1917</v>
      </c>
      <c r="E397" s="84" t="s">
        <v>1871</v>
      </c>
      <c r="F397" s="79" t="s">
        <v>135</v>
      </c>
      <c r="G397" s="79" t="s">
        <v>1891</v>
      </c>
      <c r="H397" s="47" t="s">
        <v>1883</v>
      </c>
      <c r="I397" s="183" t="s">
        <v>281</v>
      </c>
      <c r="J397" s="80">
        <v>5.99</v>
      </c>
      <c r="K397" s="80">
        <v>40.03</v>
      </c>
      <c r="L397" s="42" t="s">
        <v>1918</v>
      </c>
      <c r="M397" s="42" t="s">
        <v>1919</v>
      </c>
      <c r="N397" s="80" t="s">
        <v>543</v>
      </c>
      <c r="O397" s="80">
        <v>37.4</v>
      </c>
      <c r="P397" s="80">
        <v>8.82</v>
      </c>
      <c r="Q397" s="80">
        <f aca="true" t="shared" si="21" ref="Q397:Q408">SUM(O397:P397)</f>
        <v>46.22</v>
      </c>
      <c r="R397" s="80">
        <f>44.32+0.49</f>
        <v>44.81</v>
      </c>
      <c r="S397" s="80">
        <v>5.99</v>
      </c>
      <c r="T397" s="85" t="s">
        <v>142</v>
      </c>
      <c r="U397" s="85" t="s">
        <v>1686</v>
      </c>
    </row>
    <row r="398" spans="1:21" ht="90">
      <c r="A398" s="77">
        <v>1</v>
      </c>
      <c r="B398" s="79" t="s">
        <v>202</v>
      </c>
      <c r="C398" s="77" t="s">
        <v>19</v>
      </c>
      <c r="D398" s="37" t="s">
        <v>1920</v>
      </c>
      <c r="E398" s="84" t="s">
        <v>1877</v>
      </c>
      <c r="F398" s="79" t="s">
        <v>135</v>
      </c>
      <c r="G398" s="79" t="s">
        <v>1921</v>
      </c>
      <c r="H398" s="47" t="s">
        <v>1883</v>
      </c>
      <c r="I398" s="183"/>
      <c r="J398" s="80">
        <v>4.03</v>
      </c>
      <c r="K398" s="80">
        <v>52.08</v>
      </c>
      <c r="L398" s="42" t="s">
        <v>1922</v>
      </c>
      <c r="M398" s="42" t="s">
        <v>1923</v>
      </c>
      <c r="N398" s="80" t="s">
        <v>1191</v>
      </c>
      <c r="O398" s="80">
        <v>51.72</v>
      </c>
      <c r="P398" s="80"/>
      <c r="Q398" s="80">
        <f t="shared" si="21"/>
        <v>51.72</v>
      </c>
      <c r="R398" s="80">
        <f>51.12+1.25</f>
        <v>52.37</v>
      </c>
      <c r="S398" s="80">
        <v>4.03</v>
      </c>
      <c r="T398" s="85" t="s">
        <v>142</v>
      </c>
      <c r="U398" s="85" t="s">
        <v>1686</v>
      </c>
    </row>
    <row r="399" spans="1:21" ht="75">
      <c r="A399" s="77">
        <v>6</v>
      </c>
      <c r="B399" s="79" t="s">
        <v>202</v>
      </c>
      <c r="C399" s="77" t="s">
        <v>19</v>
      </c>
      <c r="D399" s="37" t="s">
        <v>1924</v>
      </c>
      <c r="E399" s="84" t="s">
        <v>1890</v>
      </c>
      <c r="F399" s="79" t="s">
        <v>135</v>
      </c>
      <c r="G399" s="79" t="s">
        <v>1872</v>
      </c>
      <c r="H399" s="79" t="s">
        <v>1864</v>
      </c>
      <c r="I399" s="79" t="s">
        <v>1925</v>
      </c>
      <c r="J399" s="80">
        <v>13.52</v>
      </c>
      <c r="K399" s="80">
        <v>178.61</v>
      </c>
      <c r="L399" s="42" t="s">
        <v>1913</v>
      </c>
      <c r="M399" s="42" t="s">
        <v>1926</v>
      </c>
      <c r="N399" s="80" t="s">
        <v>1191</v>
      </c>
      <c r="O399" s="80">
        <v>174.13</v>
      </c>
      <c r="P399" s="80">
        <v>36.4</v>
      </c>
      <c r="Q399" s="80">
        <f t="shared" si="21"/>
        <v>210.53</v>
      </c>
      <c r="R399" s="80">
        <v>209.98</v>
      </c>
      <c r="S399" s="80">
        <v>13.52</v>
      </c>
      <c r="T399" s="85" t="s">
        <v>142</v>
      </c>
      <c r="U399" s="85" t="s">
        <v>1686</v>
      </c>
    </row>
    <row r="400" spans="1:21" ht="90">
      <c r="A400" s="77">
        <v>5</v>
      </c>
      <c r="B400" s="79" t="s">
        <v>202</v>
      </c>
      <c r="C400" s="77" t="s">
        <v>19</v>
      </c>
      <c r="D400" s="37" t="s">
        <v>1927</v>
      </c>
      <c r="E400" s="84" t="s">
        <v>1928</v>
      </c>
      <c r="F400" s="79" t="s">
        <v>135</v>
      </c>
      <c r="G400" s="79" t="s">
        <v>1869</v>
      </c>
      <c r="H400" s="79" t="s">
        <v>1869</v>
      </c>
      <c r="I400" s="79" t="s">
        <v>1929</v>
      </c>
      <c r="J400" s="80">
        <v>5</v>
      </c>
      <c r="K400" s="80">
        <v>99.08</v>
      </c>
      <c r="L400" s="42" t="s">
        <v>1930</v>
      </c>
      <c r="M400" s="42" t="s">
        <v>1931</v>
      </c>
      <c r="N400" s="80" t="s">
        <v>543</v>
      </c>
      <c r="O400" s="80">
        <v>86.9</v>
      </c>
      <c r="P400" s="80"/>
      <c r="Q400" s="80">
        <f t="shared" si="21"/>
        <v>86.9</v>
      </c>
      <c r="R400" s="80">
        <v>86.89</v>
      </c>
      <c r="S400" s="80">
        <v>5</v>
      </c>
      <c r="T400" s="85" t="s">
        <v>142</v>
      </c>
      <c r="U400" s="85" t="s">
        <v>1686</v>
      </c>
    </row>
    <row r="401" spans="1:21" ht="60">
      <c r="A401" s="77">
        <v>7</v>
      </c>
      <c r="B401" s="79" t="s">
        <v>202</v>
      </c>
      <c r="C401" s="77" t="s">
        <v>19</v>
      </c>
      <c r="D401" s="37" t="s">
        <v>1932</v>
      </c>
      <c r="E401" s="84" t="s">
        <v>1933</v>
      </c>
      <c r="F401" s="79" t="s">
        <v>135</v>
      </c>
      <c r="G401" s="79" t="s">
        <v>1872</v>
      </c>
      <c r="H401" s="79" t="s">
        <v>1864</v>
      </c>
      <c r="I401" s="79" t="s">
        <v>1925</v>
      </c>
      <c r="J401" s="80">
        <v>6.87</v>
      </c>
      <c r="K401" s="80">
        <v>129.09</v>
      </c>
      <c r="L401" s="42" t="s">
        <v>1913</v>
      </c>
      <c r="M401" s="42" t="s">
        <v>1926</v>
      </c>
      <c r="N401" s="80" t="s">
        <v>543</v>
      </c>
      <c r="O401" s="80">
        <v>127.41</v>
      </c>
      <c r="P401" s="80">
        <v>26.42</v>
      </c>
      <c r="Q401" s="80">
        <f t="shared" si="21"/>
        <v>153.82999999999998</v>
      </c>
      <c r="R401" s="80">
        <v>156</v>
      </c>
      <c r="S401" s="80">
        <v>6.87</v>
      </c>
      <c r="T401" s="85" t="s">
        <v>142</v>
      </c>
      <c r="U401" s="85" t="s">
        <v>1686</v>
      </c>
    </row>
    <row r="402" spans="1:21" ht="90">
      <c r="A402" s="77">
        <v>8</v>
      </c>
      <c r="B402" s="79" t="s">
        <v>202</v>
      </c>
      <c r="C402" s="77" t="s">
        <v>19</v>
      </c>
      <c r="D402" s="37" t="s">
        <v>1934</v>
      </c>
      <c r="E402" s="84" t="s">
        <v>1935</v>
      </c>
      <c r="F402" s="79" t="s">
        <v>135</v>
      </c>
      <c r="G402" s="79" t="s">
        <v>1872</v>
      </c>
      <c r="H402" s="79" t="s">
        <v>1864</v>
      </c>
      <c r="I402" s="79" t="s">
        <v>1929</v>
      </c>
      <c r="J402" s="80">
        <v>7.35</v>
      </c>
      <c r="K402" s="80">
        <v>112.55</v>
      </c>
      <c r="L402" s="42" t="s">
        <v>1918</v>
      </c>
      <c r="M402" s="42" t="s">
        <v>1919</v>
      </c>
      <c r="N402" s="80" t="s">
        <v>841</v>
      </c>
      <c r="O402" s="80">
        <v>104.23</v>
      </c>
      <c r="P402" s="80"/>
      <c r="Q402" s="80">
        <f t="shared" si="21"/>
        <v>104.23</v>
      </c>
      <c r="R402" s="80">
        <v>107.51</v>
      </c>
      <c r="S402" s="80">
        <v>7.35</v>
      </c>
      <c r="T402" s="85" t="s">
        <v>142</v>
      </c>
      <c r="U402" s="85" t="s">
        <v>1686</v>
      </c>
    </row>
    <row r="403" spans="1:21" ht="75">
      <c r="A403" s="77">
        <v>9</v>
      </c>
      <c r="B403" s="79" t="s">
        <v>202</v>
      </c>
      <c r="C403" s="77" t="s">
        <v>19</v>
      </c>
      <c r="D403" s="37" t="s">
        <v>1936</v>
      </c>
      <c r="E403" s="84" t="s">
        <v>1937</v>
      </c>
      <c r="F403" s="79" t="s">
        <v>135</v>
      </c>
      <c r="G403" s="79" t="s">
        <v>1872</v>
      </c>
      <c r="H403" s="79" t="s">
        <v>1864</v>
      </c>
      <c r="I403" s="79" t="s">
        <v>1193</v>
      </c>
      <c r="J403" s="80">
        <v>10.28</v>
      </c>
      <c r="K403" s="80">
        <v>139.81</v>
      </c>
      <c r="L403" s="42" t="s">
        <v>1930</v>
      </c>
      <c r="M403" s="42" t="s">
        <v>1931</v>
      </c>
      <c r="N403" s="80" t="s">
        <v>543</v>
      </c>
      <c r="O403" s="80">
        <v>136.35</v>
      </c>
      <c r="P403" s="80"/>
      <c r="Q403" s="80">
        <f t="shared" si="21"/>
        <v>136.35</v>
      </c>
      <c r="R403" s="80">
        <v>126.89</v>
      </c>
      <c r="S403" s="80">
        <v>10.28</v>
      </c>
      <c r="T403" s="85" t="s">
        <v>142</v>
      </c>
      <c r="U403" s="85" t="s">
        <v>1686</v>
      </c>
    </row>
    <row r="404" spans="1:21" ht="120">
      <c r="A404" s="77">
        <v>6</v>
      </c>
      <c r="B404" s="79" t="s">
        <v>202</v>
      </c>
      <c r="C404" s="77" t="s">
        <v>19</v>
      </c>
      <c r="D404" s="37" t="s">
        <v>1938</v>
      </c>
      <c r="E404" s="84" t="s">
        <v>1939</v>
      </c>
      <c r="F404" s="79" t="s">
        <v>135</v>
      </c>
      <c r="G404" s="79" t="s">
        <v>1869</v>
      </c>
      <c r="H404" s="79" t="s">
        <v>1869</v>
      </c>
      <c r="I404" s="79" t="s">
        <v>1783</v>
      </c>
      <c r="J404" s="80">
        <v>4.25</v>
      </c>
      <c r="K404" s="80">
        <v>104.95</v>
      </c>
      <c r="L404" s="42" t="s">
        <v>833</v>
      </c>
      <c r="M404" s="42" t="s">
        <v>1916</v>
      </c>
      <c r="N404" s="80" t="s">
        <v>220</v>
      </c>
      <c r="O404" s="80">
        <v>103.79</v>
      </c>
      <c r="P404" s="80">
        <v>20.23</v>
      </c>
      <c r="Q404" s="80">
        <f t="shared" si="21"/>
        <v>124.02000000000001</v>
      </c>
      <c r="R404" s="80">
        <v>122.12</v>
      </c>
      <c r="S404" s="80">
        <v>4.25</v>
      </c>
      <c r="T404" s="85" t="s">
        <v>142</v>
      </c>
      <c r="U404" s="85" t="s">
        <v>1686</v>
      </c>
    </row>
    <row r="405" spans="1:21" ht="90">
      <c r="A405" s="77">
        <v>4</v>
      </c>
      <c r="B405" s="79" t="s">
        <v>202</v>
      </c>
      <c r="C405" s="77" t="s">
        <v>19</v>
      </c>
      <c r="D405" s="37" t="s">
        <v>1940</v>
      </c>
      <c r="E405" s="204" t="s">
        <v>1941</v>
      </c>
      <c r="F405" s="79" t="s">
        <v>135</v>
      </c>
      <c r="G405" s="79" t="s">
        <v>19</v>
      </c>
      <c r="H405" s="79" t="s">
        <v>1869</v>
      </c>
      <c r="I405" s="183" t="s">
        <v>1942</v>
      </c>
      <c r="J405" s="80">
        <v>2.2</v>
      </c>
      <c r="K405" s="80">
        <v>30.65</v>
      </c>
      <c r="L405" s="42" t="s">
        <v>1930</v>
      </c>
      <c r="M405" s="42" t="s">
        <v>1943</v>
      </c>
      <c r="N405" s="80" t="s">
        <v>543</v>
      </c>
      <c r="O405" s="80">
        <v>29.36</v>
      </c>
      <c r="P405" s="187">
        <v>28.67</v>
      </c>
      <c r="Q405" s="80">
        <f t="shared" si="21"/>
        <v>58.03</v>
      </c>
      <c r="R405" s="80">
        <f>150.04+1.02</f>
        <v>151.06</v>
      </c>
      <c r="S405" s="80">
        <v>2.2</v>
      </c>
      <c r="T405" s="85" t="s">
        <v>142</v>
      </c>
      <c r="U405" s="85" t="s">
        <v>1686</v>
      </c>
    </row>
    <row r="406" spans="1:21" ht="150">
      <c r="A406" s="77">
        <v>7</v>
      </c>
      <c r="B406" s="79" t="s">
        <v>202</v>
      </c>
      <c r="C406" s="77" t="s">
        <v>19</v>
      </c>
      <c r="D406" s="37" t="s">
        <v>1944</v>
      </c>
      <c r="E406" s="204"/>
      <c r="F406" s="79" t="s">
        <v>135</v>
      </c>
      <c r="G406" s="79" t="s">
        <v>1869</v>
      </c>
      <c r="H406" s="79" t="s">
        <v>1869</v>
      </c>
      <c r="I406" s="183"/>
      <c r="J406" s="80">
        <v>2.1</v>
      </c>
      <c r="K406" s="80">
        <v>44.38</v>
      </c>
      <c r="L406" s="42"/>
      <c r="M406" s="42"/>
      <c r="N406" s="80" t="s">
        <v>841</v>
      </c>
      <c r="O406" s="80">
        <v>43.64</v>
      </c>
      <c r="P406" s="187"/>
      <c r="Q406" s="80">
        <f t="shared" si="21"/>
        <v>43.64</v>
      </c>
      <c r="R406" s="80">
        <v>0</v>
      </c>
      <c r="S406" s="80">
        <v>2.1</v>
      </c>
      <c r="T406" s="85" t="s">
        <v>142</v>
      </c>
      <c r="U406" s="85" t="s">
        <v>1686</v>
      </c>
    </row>
    <row r="407" spans="1:21" ht="90">
      <c r="A407" s="77">
        <v>8</v>
      </c>
      <c r="B407" s="79" t="s">
        <v>202</v>
      </c>
      <c r="C407" s="77" t="s">
        <v>19</v>
      </c>
      <c r="D407" s="37" t="s">
        <v>1945</v>
      </c>
      <c r="E407" s="204"/>
      <c r="F407" s="79" t="s">
        <v>135</v>
      </c>
      <c r="G407" s="79" t="s">
        <v>1869</v>
      </c>
      <c r="H407" s="79" t="s">
        <v>1869</v>
      </c>
      <c r="I407" s="183"/>
      <c r="J407" s="80">
        <v>2.9</v>
      </c>
      <c r="K407" s="80">
        <v>60</v>
      </c>
      <c r="L407" s="42"/>
      <c r="M407" s="42"/>
      <c r="N407" s="80" t="s">
        <v>841</v>
      </c>
      <c r="O407" s="80">
        <v>59.05</v>
      </c>
      <c r="P407" s="187"/>
      <c r="Q407" s="80">
        <f t="shared" si="21"/>
        <v>59.05</v>
      </c>
      <c r="R407" s="80">
        <v>0</v>
      </c>
      <c r="S407" s="80">
        <v>2.9</v>
      </c>
      <c r="T407" s="85" t="s">
        <v>142</v>
      </c>
      <c r="U407" s="85" t="s">
        <v>1686</v>
      </c>
    </row>
    <row r="408" spans="1:21" ht="105">
      <c r="A408" s="77">
        <v>9</v>
      </c>
      <c r="B408" s="79" t="s">
        <v>202</v>
      </c>
      <c r="C408" s="77" t="s">
        <v>19</v>
      </c>
      <c r="D408" s="37" t="s">
        <v>1946</v>
      </c>
      <c r="E408" s="84" t="s">
        <v>1947</v>
      </c>
      <c r="F408" s="79" t="s">
        <v>135</v>
      </c>
      <c r="G408" s="79" t="s">
        <v>1869</v>
      </c>
      <c r="H408" s="79" t="s">
        <v>1869</v>
      </c>
      <c r="I408" s="79" t="s">
        <v>204</v>
      </c>
      <c r="J408" s="80">
        <v>12</v>
      </c>
      <c r="K408" s="80">
        <v>212.08</v>
      </c>
      <c r="L408" s="42" t="s">
        <v>1948</v>
      </c>
      <c r="M408" s="42" t="s">
        <v>861</v>
      </c>
      <c r="N408" s="80" t="s">
        <v>841</v>
      </c>
      <c r="O408" s="80">
        <v>208.39</v>
      </c>
      <c r="P408" s="80">
        <v>15.49</v>
      </c>
      <c r="Q408" s="80">
        <f t="shared" si="21"/>
        <v>223.88</v>
      </c>
      <c r="R408" s="80">
        <v>204.29</v>
      </c>
      <c r="S408" s="80">
        <v>12</v>
      </c>
      <c r="T408" s="85" t="s">
        <v>142</v>
      </c>
      <c r="U408" s="85" t="s">
        <v>1686</v>
      </c>
    </row>
    <row r="409" spans="1:21" ht="71.25">
      <c r="A409" s="77">
        <v>10</v>
      </c>
      <c r="B409" s="79" t="s">
        <v>221</v>
      </c>
      <c r="C409" s="77" t="s">
        <v>19</v>
      </c>
      <c r="D409" s="36" t="s">
        <v>1949</v>
      </c>
      <c r="E409" s="51" t="s">
        <v>1863</v>
      </c>
      <c r="F409" s="79" t="s">
        <v>135</v>
      </c>
      <c r="G409" s="52" t="s">
        <v>1869</v>
      </c>
      <c r="H409" s="52" t="s">
        <v>1869</v>
      </c>
      <c r="I409" s="79" t="s">
        <v>1929</v>
      </c>
      <c r="J409" s="80">
        <v>15.3</v>
      </c>
      <c r="K409" s="80">
        <v>307.24</v>
      </c>
      <c r="L409" s="42" t="s">
        <v>1950</v>
      </c>
      <c r="M409" s="42" t="s">
        <v>1951</v>
      </c>
      <c r="N409" s="80" t="s">
        <v>1952</v>
      </c>
      <c r="O409" s="80">
        <v>323.79</v>
      </c>
      <c r="P409" s="80">
        <v>21.47</v>
      </c>
      <c r="Q409" s="80">
        <f>SUM(O409:P409)</f>
        <v>345.26</v>
      </c>
      <c r="R409" s="80">
        <v>393.01</v>
      </c>
      <c r="S409" s="80">
        <v>13</v>
      </c>
      <c r="T409" s="83" t="s">
        <v>142</v>
      </c>
      <c r="U409" s="85" t="s">
        <v>143</v>
      </c>
    </row>
    <row r="410" spans="1:21" ht="85.5">
      <c r="A410" s="77">
        <v>2</v>
      </c>
      <c r="B410" s="79" t="s">
        <v>221</v>
      </c>
      <c r="C410" s="77" t="s">
        <v>19</v>
      </c>
      <c r="D410" s="36" t="s">
        <v>1953</v>
      </c>
      <c r="E410" s="51" t="s">
        <v>1868</v>
      </c>
      <c r="F410" s="79" t="s">
        <v>135</v>
      </c>
      <c r="G410" s="52" t="s">
        <v>1921</v>
      </c>
      <c r="H410" s="47" t="s">
        <v>1883</v>
      </c>
      <c r="I410" s="79" t="s">
        <v>1713</v>
      </c>
      <c r="J410" s="80">
        <v>12.25</v>
      </c>
      <c r="K410" s="80">
        <v>235.78</v>
      </c>
      <c r="L410" s="42" t="s">
        <v>1954</v>
      </c>
      <c r="M410" s="42" t="s">
        <v>1955</v>
      </c>
      <c r="N410" s="80" t="s">
        <v>1956</v>
      </c>
      <c r="O410" s="80">
        <v>271.96</v>
      </c>
      <c r="P410" s="80"/>
      <c r="Q410" s="80">
        <f>SUM(O410:P410)</f>
        <v>271.96</v>
      </c>
      <c r="R410" s="80">
        <f>121.14+108.72</f>
        <v>229.86</v>
      </c>
      <c r="S410" s="80">
        <v>12.25</v>
      </c>
      <c r="T410" s="83" t="s">
        <v>142</v>
      </c>
      <c r="U410" s="85" t="s">
        <v>143</v>
      </c>
    </row>
    <row r="411" spans="1:21" ht="156.75">
      <c r="A411" s="77">
        <v>3</v>
      </c>
      <c r="B411" s="79" t="s">
        <v>221</v>
      </c>
      <c r="C411" s="77" t="s">
        <v>19</v>
      </c>
      <c r="D411" s="36" t="s">
        <v>1957</v>
      </c>
      <c r="E411" s="51" t="s">
        <v>1871</v>
      </c>
      <c r="F411" s="79" t="s">
        <v>135</v>
      </c>
      <c r="G411" s="52" t="s">
        <v>1921</v>
      </c>
      <c r="H411" s="47" t="s">
        <v>1883</v>
      </c>
      <c r="I411" s="79" t="s">
        <v>1958</v>
      </c>
      <c r="J411" s="80">
        <v>8.75</v>
      </c>
      <c r="K411" s="80">
        <v>193.55</v>
      </c>
      <c r="L411" s="42" t="s">
        <v>1216</v>
      </c>
      <c r="M411" s="42" t="s">
        <v>1213</v>
      </c>
      <c r="N411" s="80" t="s">
        <v>230</v>
      </c>
      <c r="O411" s="80">
        <v>226.75</v>
      </c>
      <c r="P411" s="80"/>
      <c r="Q411" s="80">
        <f>SUM(O411:P411)</f>
        <v>226.75</v>
      </c>
      <c r="R411" s="80">
        <f>152.22+66.72</f>
        <v>218.94</v>
      </c>
      <c r="S411" s="80">
        <v>8.75</v>
      </c>
      <c r="T411" s="83" t="s">
        <v>142</v>
      </c>
      <c r="U411" s="85" t="s">
        <v>143</v>
      </c>
    </row>
    <row r="412" spans="1:21" ht="71.25">
      <c r="A412" s="77">
        <v>11</v>
      </c>
      <c r="B412" s="79" t="s">
        <v>221</v>
      </c>
      <c r="C412" s="77" t="s">
        <v>19</v>
      </c>
      <c r="D412" s="36" t="s">
        <v>1959</v>
      </c>
      <c r="E412" s="51" t="s">
        <v>1877</v>
      </c>
      <c r="F412" s="79" t="s">
        <v>135</v>
      </c>
      <c r="G412" s="52" t="s">
        <v>1869</v>
      </c>
      <c r="H412" s="52" t="s">
        <v>1873</v>
      </c>
      <c r="I412" s="79" t="s">
        <v>1960</v>
      </c>
      <c r="J412" s="80">
        <v>2.33</v>
      </c>
      <c r="K412" s="80">
        <v>44.46</v>
      </c>
      <c r="L412" s="42" t="s">
        <v>1902</v>
      </c>
      <c r="M412" s="42" t="s">
        <v>1961</v>
      </c>
      <c r="N412" s="80" t="s">
        <v>242</v>
      </c>
      <c r="O412" s="80">
        <v>65.63</v>
      </c>
      <c r="P412" s="80"/>
      <c r="Q412" s="80">
        <f>SUM(O412:P412)</f>
        <v>65.63</v>
      </c>
      <c r="R412" s="80">
        <v>65.62</v>
      </c>
      <c r="S412" s="80">
        <v>2.33</v>
      </c>
      <c r="T412" s="83" t="s">
        <v>142</v>
      </c>
      <c r="U412" s="85" t="s">
        <v>1188</v>
      </c>
    </row>
    <row r="413" spans="1:21" ht="71.25">
      <c r="A413" s="77">
        <v>12</v>
      </c>
      <c r="B413" s="79" t="s">
        <v>221</v>
      </c>
      <c r="C413" s="77" t="s">
        <v>19</v>
      </c>
      <c r="D413" s="36" t="s">
        <v>1962</v>
      </c>
      <c r="E413" s="84" t="s">
        <v>1890</v>
      </c>
      <c r="F413" s="79" t="s">
        <v>135</v>
      </c>
      <c r="G413" s="52" t="s">
        <v>1869</v>
      </c>
      <c r="H413" s="52" t="s">
        <v>1869</v>
      </c>
      <c r="I413" s="79" t="s">
        <v>1963</v>
      </c>
      <c r="J413" s="80">
        <v>3.66</v>
      </c>
      <c r="K413" s="80">
        <v>75.13</v>
      </c>
      <c r="L413" s="42" t="s">
        <v>1964</v>
      </c>
      <c r="M413" s="42" t="s">
        <v>1965</v>
      </c>
      <c r="N413" s="80" t="s">
        <v>220</v>
      </c>
      <c r="O413" s="80">
        <v>81.3</v>
      </c>
      <c r="P413" s="80">
        <v>65.71</v>
      </c>
      <c r="Q413" s="80">
        <f>SUM(O413:P413)</f>
        <v>147.01</v>
      </c>
      <c r="R413" s="80">
        <v>146.28</v>
      </c>
      <c r="S413" s="80">
        <v>3.66</v>
      </c>
      <c r="T413" s="83" t="s">
        <v>142</v>
      </c>
      <c r="U413" s="85" t="s">
        <v>143</v>
      </c>
    </row>
    <row r="414" spans="1:21" ht="99.75">
      <c r="A414" s="77">
        <v>13</v>
      </c>
      <c r="B414" s="79" t="s">
        <v>244</v>
      </c>
      <c r="C414" s="77" t="s">
        <v>19</v>
      </c>
      <c r="D414" s="36" t="s">
        <v>1966</v>
      </c>
      <c r="E414" s="51" t="s">
        <v>1863</v>
      </c>
      <c r="F414" s="80" t="s">
        <v>159</v>
      </c>
      <c r="G414" s="53" t="s">
        <v>1869</v>
      </c>
      <c r="H414" s="53" t="s">
        <v>1869</v>
      </c>
      <c r="I414" s="81" t="s">
        <v>906</v>
      </c>
      <c r="J414" s="80">
        <v>8</v>
      </c>
      <c r="K414" s="80">
        <v>177.81</v>
      </c>
      <c r="L414" s="42" t="s">
        <v>825</v>
      </c>
      <c r="M414" s="42" t="s">
        <v>1967</v>
      </c>
      <c r="N414" s="80" t="s">
        <v>1968</v>
      </c>
      <c r="O414" s="80">
        <v>211.71</v>
      </c>
      <c r="P414" s="80">
        <f>66.13+5.09</f>
        <v>71.22</v>
      </c>
      <c r="Q414" s="80">
        <f aca="true" t="shared" si="22" ref="Q414:Q424">SUM(O414:P414)</f>
        <v>282.93</v>
      </c>
      <c r="R414" s="80">
        <f>280.03+5.99</f>
        <v>286.02</v>
      </c>
      <c r="S414" s="80">
        <v>8</v>
      </c>
      <c r="T414" s="85" t="s">
        <v>142</v>
      </c>
      <c r="U414" s="83" t="s">
        <v>261</v>
      </c>
    </row>
    <row r="415" spans="1:21" ht="60">
      <c r="A415" s="77">
        <v>14</v>
      </c>
      <c r="B415" s="79" t="s">
        <v>244</v>
      </c>
      <c r="C415" s="77" t="s">
        <v>19</v>
      </c>
      <c r="D415" s="36" t="s">
        <v>1969</v>
      </c>
      <c r="E415" s="51" t="s">
        <v>1868</v>
      </c>
      <c r="F415" s="79" t="s">
        <v>135</v>
      </c>
      <c r="G415" s="53" t="s">
        <v>1869</v>
      </c>
      <c r="H415" s="53" t="s">
        <v>1873</v>
      </c>
      <c r="I415" s="81" t="s">
        <v>1970</v>
      </c>
      <c r="J415" s="80">
        <v>7</v>
      </c>
      <c r="K415" s="80">
        <v>139.46</v>
      </c>
      <c r="L415" s="42" t="s">
        <v>1902</v>
      </c>
      <c r="M415" s="42" t="s">
        <v>230</v>
      </c>
      <c r="N415" s="80" t="s">
        <v>230</v>
      </c>
      <c r="O415" s="80">
        <v>171.28</v>
      </c>
      <c r="P415" s="80">
        <v>37.41</v>
      </c>
      <c r="Q415" s="80">
        <f t="shared" si="22"/>
        <v>208.69</v>
      </c>
      <c r="R415" s="80">
        <f>208.65+39.25</f>
        <v>247.9</v>
      </c>
      <c r="S415" s="80">
        <v>7</v>
      </c>
      <c r="T415" s="85" t="s">
        <v>142</v>
      </c>
      <c r="U415" s="83" t="s">
        <v>261</v>
      </c>
    </row>
    <row r="416" spans="1:21" ht="99.75">
      <c r="A416" s="77">
        <v>5</v>
      </c>
      <c r="B416" s="79" t="s">
        <v>244</v>
      </c>
      <c r="C416" s="77" t="s">
        <v>19</v>
      </c>
      <c r="D416" s="36" t="s">
        <v>1971</v>
      </c>
      <c r="E416" s="51" t="s">
        <v>1871</v>
      </c>
      <c r="F416" s="79" t="s">
        <v>135</v>
      </c>
      <c r="G416" s="53" t="s">
        <v>19</v>
      </c>
      <c r="H416" s="53" t="s">
        <v>1869</v>
      </c>
      <c r="I416" s="81" t="s">
        <v>1972</v>
      </c>
      <c r="J416" s="80">
        <v>6.63</v>
      </c>
      <c r="K416" s="80">
        <v>187.17</v>
      </c>
      <c r="L416" s="42" t="s">
        <v>1973</v>
      </c>
      <c r="M416" s="42" t="s">
        <v>230</v>
      </c>
      <c r="N416" s="80" t="s">
        <v>1799</v>
      </c>
      <c r="O416" s="80">
        <v>139.57</v>
      </c>
      <c r="P416" s="80">
        <v>29.48</v>
      </c>
      <c r="Q416" s="80">
        <f t="shared" si="22"/>
        <v>169.04999999999998</v>
      </c>
      <c r="R416" s="80">
        <v>167.58</v>
      </c>
      <c r="S416" s="80">
        <v>6.63</v>
      </c>
      <c r="T416" s="85" t="s">
        <v>142</v>
      </c>
      <c r="U416" s="83" t="s">
        <v>143</v>
      </c>
    </row>
    <row r="417" spans="1:21" ht="99.75">
      <c r="A417" s="77">
        <v>6</v>
      </c>
      <c r="B417" s="79" t="s">
        <v>244</v>
      </c>
      <c r="C417" s="77" t="s">
        <v>19</v>
      </c>
      <c r="D417" s="36" t="s">
        <v>1974</v>
      </c>
      <c r="E417" s="51" t="s">
        <v>1877</v>
      </c>
      <c r="F417" s="79" t="s">
        <v>135</v>
      </c>
      <c r="G417" s="53" t="s">
        <v>19</v>
      </c>
      <c r="H417" s="53" t="s">
        <v>1864</v>
      </c>
      <c r="I417" s="81" t="s">
        <v>1975</v>
      </c>
      <c r="J417" s="80">
        <v>6.32</v>
      </c>
      <c r="K417" s="80">
        <v>135.46</v>
      </c>
      <c r="L417" s="42" t="s">
        <v>1976</v>
      </c>
      <c r="M417" s="42" t="s">
        <v>1415</v>
      </c>
      <c r="N417" s="80" t="s">
        <v>1956</v>
      </c>
      <c r="O417" s="80">
        <v>131.85</v>
      </c>
      <c r="P417" s="80">
        <v>41.85</v>
      </c>
      <c r="Q417" s="80">
        <f t="shared" si="22"/>
        <v>173.7</v>
      </c>
      <c r="R417" s="80">
        <v>166.05</v>
      </c>
      <c r="S417" s="80">
        <v>6.32</v>
      </c>
      <c r="T417" s="85" t="s">
        <v>142</v>
      </c>
      <c r="U417" s="83" t="s">
        <v>143</v>
      </c>
    </row>
    <row r="418" spans="1:21" ht="85.5">
      <c r="A418" s="77">
        <v>10</v>
      </c>
      <c r="B418" s="79" t="s">
        <v>244</v>
      </c>
      <c r="C418" s="77" t="s">
        <v>19</v>
      </c>
      <c r="D418" s="36" t="s">
        <v>1977</v>
      </c>
      <c r="E418" s="51" t="s">
        <v>1890</v>
      </c>
      <c r="F418" s="79" t="s">
        <v>135</v>
      </c>
      <c r="G418" s="53" t="s">
        <v>1872</v>
      </c>
      <c r="H418" s="53" t="s">
        <v>1864</v>
      </c>
      <c r="I418" s="81" t="s">
        <v>611</v>
      </c>
      <c r="J418" s="80">
        <v>15.14</v>
      </c>
      <c r="K418" s="80">
        <v>353.33</v>
      </c>
      <c r="L418" s="42" t="s">
        <v>825</v>
      </c>
      <c r="M418" s="42" t="s">
        <v>1978</v>
      </c>
      <c r="N418" s="80" t="s">
        <v>216</v>
      </c>
      <c r="O418" s="80">
        <v>437.79</v>
      </c>
      <c r="P418" s="80">
        <f>22.04+137.97</f>
        <v>160.01</v>
      </c>
      <c r="Q418" s="80">
        <f t="shared" si="22"/>
        <v>597.8</v>
      </c>
      <c r="R418" s="80">
        <v>570.41</v>
      </c>
      <c r="S418" s="80">
        <v>15.14</v>
      </c>
      <c r="T418" s="85" t="s">
        <v>142</v>
      </c>
      <c r="U418" s="83" t="s">
        <v>1188</v>
      </c>
    </row>
    <row r="419" spans="1:21" ht="71.25">
      <c r="A419" s="77">
        <v>11</v>
      </c>
      <c r="B419" s="79" t="s">
        <v>244</v>
      </c>
      <c r="C419" s="77" t="s">
        <v>19</v>
      </c>
      <c r="D419" s="36" t="s">
        <v>1979</v>
      </c>
      <c r="E419" s="51" t="s">
        <v>1928</v>
      </c>
      <c r="F419" s="79" t="s">
        <v>135</v>
      </c>
      <c r="G419" s="53" t="s">
        <v>1872</v>
      </c>
      <c r="H419" s="53" t="s">
        <v>1873</v>
      </c>
      <c r="I419" s="191" t="s">
        <v>1980</v>
      </c>
      <c r="J419" s="80">
        <v>1.6</v>
      </c>
      <c r="K419" s="80">
        <v>33.32</v>
      </c>
      <c r="L419" s="42" t="s">
        <v>1973</v>
      </c>
      <c r="M419" s="42" t="s">
        <v>230</v>
      </c>
      <c r="N419" s="80" t="s">
        <v>230</v>
      </c>
      <c r="O419" s="80">
        <v>40.77</v>
      </c>
      <c r="P419" s="80">
        <v>19.78</v>
      </c>
      <c r="Q419" s="80">
        <f t="shared" si="22"/>
        <v>60.550000000000004</v>
      </c>
      <c r="R419" s="80">
        <v>60.55</v>
      </c>
      <c r="S419" s="80">
        <v>1.6</v>
      </c>
      <c r="T419" s="85" t="s">
        <v>142</v>
      </c>
      <c r="U419" s="83" t="s">
        <v>1188</v>
      </c>
    </row>
    <row r="420" spans="1:21" ht="71.25">
      <c r="A420" s="77">
        <v>15</v>
      </c>
      <c r="B420" s="79" t="s">
        <v>244</v>
      </c>
      <c r="C420" s="77" t="s">
        <v>19</v>
      </c>
      <c r="D420" s="36" t="s">
        <v>1981</v>
      </c>
      <c r="E420" s="51" t="s">
        <v>1939</v>
      </c>
      <c r="F420" s="79" t="s">
        <v>135</v>
      </c>
      <c r="G420" s="53" t="s">
        <v>1869</v>
      </c>
      <c r="H420" s="53" t="s">
        <v>1869</v>
      </c>
      <c r="I420" s="191"/>
      <c r="J420" s="80">
        <v>1.5</v>
      </c>
      <c r="K420" s="80">
        <v>42.71</v>
      </c>
      <c r="L420" s="42" t="s">
        <v>1973</v>
      </c>
      <c r="M420" s="42" t="s">
        <v>242</v>
      </c>
      <c r="N420" s="80" t="s">
        <v>1968</v>
      </c>
      <c r="O420" s="80">
        <v>46.7</v>
      </c>
      <c r="P420" s="80">
        <v>14.9</v>
      </c>
      <c r="Q420" s="80">
        <f t="shared" si="22"/>
        <v>61.6</v>
      </c>
      <c r="R420" s="80">
        <v>63.85</v>
      </c>
      <c r="S420" s="80">
        <v>1.5</v>
      </c>
      <c r="T420" s="85" t="s">
        <v>142</v>
      </c>
      <c r="U420" s="83" t="s">
        <v>1188</v>
      </c>
    </row>
    <row r="421" spans="1:21" ht="71.25">
      <c r="A421" s="77">
        <v>16</v>
      </c>
      <c r="B421" s="79" t="s">
        <v>244</v>
      </c>
      <c r="C421" s="77" t="s">
        <v>19</v>
      </c>
      <c r="D421" s="36" t="s">
        <v>1982</v>
      </c>
      <c r="E421" s="51" t="s">
        <v>1933</v>
      </c>
      <c r="F421" s="79" t="s">
        <v>135</v>
      </c>
      <c r="G421" s="53" t="s">
        <v>1869</v>
      </c>
      <c r="H421" s="53" t="s">
        <v>1869</v>
      </c>
      <c r="I421" s="81" t="s">
        <v>1983</v>
      </c>
      <c r="J421" s="80">
        <v>10.44</v>
      </c>
      <c r="K421" s="80">
        <v>264.66</v>
      </c>
      <c r="L421" s="42" t="s">
        <v>1984</v>
      </c>
      <c r="M421" s="42" t="s">
        <v>565</v>
      </c>
      <c r="N421" s="80" t="s">
        <v>249</v>
      </c>
      <c r="O421" s="80">
        <v>192.68</v>
      </c>
      <c r="P421" s="80">
        <v>70.96</v>
      </c>
      <c r="Q421" s="80">
        <f t="shared" si="22"/>
        <v>263.64</v>
      </c>
      <c r="R421" s="80">
        <v>263.61</v>
      </c>
      <c r="S421" s="80">
        <v>10.89</v>
      </c>
      <c r="T421" s="85" t="s">
        <v>142</v>
      </c>
      <c r="U421" s="83" t="s">
        <v>143</v>
      </c>
    </row>
    <row r="422" spans="1:21" ht="57">
      <c r="A422" s="77">
        <v>12</v>
      </c>
      <c r="B422" s="79" t="s">
        <v>244</v>
      </c>
      <c r="C422" s="77" t="s">
        <v>19</v>
      </c>
      <c r="D422" s="36" t="s">
        <v>1985</v>
      </c>
      <c r="E422" s="51" t="s">
        <v>1935</v>
      </c>
      <c r="F422" s="79" t="s">
        <v>135</v>
      </c>
      <c r="G422" s="53" t="s">
        <v>1872</v>
      </c>
      <c r="H422" s="53" t="s">
        <v>1864</v>
      </c>
      <c r="I422" s="81" t="s">
        <v>1414</v>
      </c>
      <c r="J422" s="80">
        <v>4.87</v>
      </c>
      <c r="K422" s="80">
        <v>103.5</v>
      </c>
      <c r="L422" s="42" t="s">
        <v>1973</v>
      </c>
      <c r="M422" s="42" t="s">
        <v>1391</v>
      </c>
      <c r="N422" s="80" t="s">
        <v>308</v>
      </c>
      <c r="O422" s="80">
        <v>127.98</v>
      </c>
      <c r="P422" s="80">
        <v>15.89</v>
      </c>
      <c r="Q422" s="80">
        <f t="shared" si="22"/>
        <v>143.87</v>
      </c>
      <c r="R422" s="80">
        <v>141.91</v>
      </c>
      <c r="S422" s="80">
        <v>4.87</v>
      </c>
      <c r="T422" s="85" t="s">
        <v>142</v>
      </c>
      <c r="U422" s="83" t="s">
        <v>1188</v>
      </c>
    </row>
    <row r="423" spans="1:21" ht="85.5">
      <c r="A423" s="77">
        <v>17</v>
      </c>
      <c r="B423" s="79" t="s">
        <v>244</v>
      </c>
      <c r="C423" s="77" t="s">
        <v>19</v>
      </c>
      <c r="D423" s="36" t="s">
        <v>1986</v>
      </c>
      <c r="E423" s="51" t="s">
        <v>1937</v>
      </c>
      <c r="F423" s="79" t="s">
        <v>135</v>
      </c>
      <c r="G423" s="53" t="s">
        <v>1869</v>
      </c>
      <c r="H423" s="53" t="s">
        <v>1869</v>
      </c>
      <c r="I423" s="81" t="s">
        <v>1987</v>
      </c>
      <c r="J423" s="80">
        <v>12</v>
      </c>
      <c r="K423" s="80">
        <v>306.39</v>
      </c>
      <c r="L423" s="42" t="s">
        <v>1973</v>
      </c>
      <c r="M423" s="42" t="s">
        <v>1988</v>
      </c>
      <c r="N423" s="80" t="s">
        <v>1989</v>
      </c>
      <c r="O423" s="80">
        <v>391.5</v>
      </c>
      <c r="P423" s="80"/>
      <c r="Q423" s="80">
        <f t="shared" si="22"/>
        <v>391.5</v>
      </c>
      <c r="R423" s="80">
        <f>381.93+30.9</f>
        <v>412.83</v>
      </c>
      <c r="S423" s="80">
        <v>12</v>
      </c>
      <c r="T423" s="85" t="s">
        <v>142</v>
      </c>
      <c r="U423" s="83" t="s">
        <v>1188</v>
      </c>
    </row>
    <row r="424" spans="1:21" ht="71.25">
      <c r="A424" s="77">
        <v>18</v>
      </c>
      <c r="B424" s="79" t="s">
        <v>244</v>
      </c>
      <c r="C424" s="77" t="s">
        <v>19</v>
      </c>
      <c r="D424" s="36" t="s">
        <v>1990</v>
      </c>
      <c r="E424" s="51" t="s">
        <v>1941</v>
      </c>
      <c r="F424" s="79" t="s">
        <v>135</v>
      </c>
      <c r="G424" s="53" t="s">
        <v>1869</v>
      </c>
      <c r="H424" s="53" t="s">
        <v>1869</v>
      </c>
      <c r="I424" s="81" t="s">
        <v>1972</v>
      </c>
      <c r="J424" s="80">
        <v>5</v>
      </c>
      <c r="K424" s="80">
        <v>158.22</v>
      </c>
      <c r="L424" s="42" t="s">
        <v>1991</v>
      </c>
      <c r="M424" s="42" t="s">
        <v>1992</v>
      </c>
      <c r="N424" s="80" t="s">
        <v>579</v>
      </c>
      <c r="O424" s="80">
        <v>195.12</v>
      </c>
      <c r="P424" s="80">
        <f>18.12+29.87</f>
        <v>47.99</v>
      </c>
      <c r="Q424" s="80">
        <f t="shared" si="22"/>
        <v>243.11</v>
      </c>
      <c r="R424" s="80">
        <v>224.49</v>
      </c>
      <c r="S424" s="80">
        <v>5</v>
      </c>
      <c r="T424" s="85" t="s">
        <v>142</v>
      </c>
      <c r="U424" s="83" t="s">
        <v>143</v>
      </c>
    </row>
    <row r="425" spans="1:21" ht="71.25">
      <c r="A425" s="77">
        <v>7</v>
      </c>
      <c r="B425" s="79" t="s">
        <v>244</v>
      </c>
      <c r="C425" s="77" t="s">
        <v>19</v>
      </c>
      <c r="D425" s="36" t="s">
        <v>1993</v>
      </c>
      <c r="E425" s="207" t="s">
        <v>1994</v>
      </c>
      <c r="F425" s="80" t="s">
        <v>159</v>
      </c>
      <c r="G425" s="53" t="s">
        <v>19</v>
      </c>
      <c r="H425" s="53" t="s">
        <v>1869</v>
      </c>
      <c r="I425" s="191" t="s">
        <v>1995</v>
      </c>
      <c r="J425" s="80">
        <v>4.22</v>
      </c>
      <c r="K425" s="80">
        <v>71.52</v>
      </c>
      <c r="L425" s="42" t="s">
        <v>1902</v>
      </c>
      <c r="M425" s="42" t="s">
        <v>538</v>
      </c>
      <c r="N425" s="80" t="s">
        <v>1415</v>
      </c>
      <c r="O425" s="80">
        <v>89.92</v>
      </c>
      <c r="P425" s="80"/>
      <c r="Q425" s="80">
        <f>SUM(O425:P425)</f>
        <v>89.92</v>
      </c>
      <c r="R425" s="80">
        <f>130.68+5.34</f>
        <v>136.02</v>
      </c>
      <c r="S425" s="80">
        <v>4.22</v>
      </c>
      <c r="T425" s="85" t="s">
        <v>142</v>
      </c>
      <c r="U425" s="83" t="s">
        <v>261</v>
      </c>
    </row>
    <row r="426" spans="1:21" ht="85.5">
      <c r="A426" s="77">
        <v>8</v>
      </c>
      <c r="B426" s="79" t="s">
        <v>244</v>
      </c>
      <c r="C426" s="77" t="s">
        <v>19</v>
      </c>
      <c r="D426" s="36" t="s">
        <v>1996</v>
      </c>
      <c r="E426" s="207"/>
      <c r="F426" s="80" t="s">
        <v>159</v>
      </c>
      <c r="G426" s="53" t="s">
        <v>19</v>
      </c>
      <c r="H426" s="53" t="s">
        <v>1869</v>
      </c>
      <c r="I426" s="191"/>
      <c r="J426" s="80">
        <v>2.07</v>
      </c>
      <c r="K426" s="80">
        <v>34.29</v>
      </c>
      <c r="L426" s="42" t="s">
        <v>1902</v>
      </c>
      <c r="M426" s="42" t="s">
        <v>1207</v>
      </c>
      <c r="N426" s="80" t="s">
        <v>1415</v>
      </c>
      <c r="O426" s="80">
        <v>43.12</v>
      </c>
      <c r="P426" s="80"/>
      <c r="Q426" s="80">
        <f>SUM(O426:P426)</f>
        <v>43.12</v>
      </c>
      <c r="R426" s="80">
        <v>0</v>
      </c>
      <c r="S426" s="80">
        <v>2.07</v>
      </c>
      <c r="T426" s="85" t="s">
        <v>142</v>
      </c>
      <c r="U426" s="83" t="s">
        <v>261</v>
      </c>
    </row>
    <row r="427" spans="1:21" ht="99.75">
      <c r="A427" s="77">
        <v>9</v>
      </c>
      <c r="B427" s="79" t="s">
        <v>244</v>
      </c>
      <c r="C427" s="77" t="s">
        <v>19</v>
      </c>
      <c r="D427" s="36" t="s">
        <v>1997</v>
      </c>
      <c r="E427" s="51" t="s">
        <v>1998</v>
      </c>
      <c r="F427" s="79" t="s">
        <v>135</v>
      </c>
      <c r="G427" s="53" t="s">
        <v>19</v>
      </c>
      <c r="H427" s="53" t="s">
        <v>1869</v>
      </c>
      <c r="I427" s="81" t="s">
        <v>1999</v>
      </c>
      <c r="J427" s="80">
        <v>5.73</v>
      </c>
      <c r="K427" s="80">
        <v>123.38</v>
      </c>
      <c r="L427" s="42" t="s">
        <v>2000</v>
      </c>
      <c r="M427" s="42" t="s">
        <v>2001</v>
      </c>
      <c r="N427" s="80" t="s">
        <v>2002</v>
      </c>
      <c r="O427" s="80">
        <v>96.85</v>
      </c>
      <c r="P427" s="80"/>
      <c r="Q427" s="80">
        <f>SUM(O427:P427)</f>
        <v>96.85</v>
      </c>
      <c r="R427" s="80">
        <v>108.18</v>
      </c>
      <c r="S427" s="80">
        <v>5.73</v>
      </c>
      <c r="T427" s="85" t="s">
        <v>142</v>
      </c>
      <c r="U427" s="83" t="s">
        <v>143</v>
      </c>
    </row>
    <row r="428" spans="1:21" ht="75">
      <c r="A428" s="77">
        <v>6</v>
      </c>
      <c r="B428" s="79" t="s">
        <v>279</v>
      </c>
      <c r="C428" s="77" t="s">
        <v>19</v>
      </c>
      <c r="D428" s="37" t="s">
        <v>2006</v>
      </c>
      <c r="E428" s="51" t="s">
        <v>1868</v>
      </c>
      <c r="F428" s="79" t="s">
        <v>135</v>
      </c>
      <c r="G428" s="79" t="s">
        <v>1891</v>
      </c>
      <c r="H428" s="79" t="s">
        <v>2007</v>
      </c>
      <c r="I428" s="79" t="s">
        <v>2008</v>
      </c>
      <c r="J428" s="80">
        <v>15</v>
      </c>
      <c r="K428" s="80">
        <v>335.12</v>
      </c>
      <c r="L428" s="42" t="s">
        <v>1984</v>
      </c>
      <c r="M428" s="42" t="s">
        <v>2009</v>
      </c>
      <c r="N428" s="79"/>
      <c r="O428" s="80">
        <v>282.76</v>
      </c>
      <c r="P428" s="80"/>
      <c r="Q428" s="80">
        <f aca="true" t="shared" si="23" ref="Q428:Q433">SUM(O428:P428)</f>
        <v>282.76</v>
      </c>
      <c r="R428" s="80">
        <v>261.7</v>
      </c>
      <c r="S428" s="80">
        <v>15</v>
      </c>
      <c r="T428" s="83" t="s">
        <v>142</v>
      </c>
      <c r="U428" s="83" t="s">
        <v>2010</v>
      </c>
    </row>
    <row r="429" spans="1:21" ht="105">
      <c r="A429" s="77">
        <v>13</v>
      </c>
      <c r="B429" s="79" t="s">
        <v>279</v>
      </c>
      <c r="C429" s="77" t="s">
        <v>19</v>
      </c>
      <c r="D429" s="37" t="s">
        <v>2011</v>
      </c>
      <c r="E429" s="51" t="s">
        <v>1871</v>
      </c>
      <c r="F429" s="80" t="s">
        <v>159</v>
      </c>
      <c r="G429" s="79" t="s">
        <v>1872</v>
      </c>
      <c r="H429" s="79" t="s">
        <v>1864</v>
      </c>
      <c r="I429" s="79" t="s">
        <v>2012</v>
      </c>
      <c r="J429" s="90">
        <v>7.35</v>
      </c>
      <c r="K429" s="90">
        <v>235.18</v>
      </c>
      <c r="L429" s="42" t="s">
        <v>2013</v>
      </c>
      <c r="M429" s="42" t="s">
        <v>2014</v>
      </c>
      <c r="N429" s="79" t="s">
        <v>299</v>
      </c>
      <c r="O429" s="80">
        <v>234.45</v>
      </c>
      <c r="P429" s="80"/>
      <c r="Q429" s="80">
        <f t="shared" si="23"/>
        <v>234.45</v>
      </c>
      <c r="R429" s="80">
        <v>302.49</v>
      </c>
      <c r="S429" s="80">
        <v>7.35</v>
      </c>
      <c r="T429" s="83" t="s">
        <v>142</v>
      </c>
      <c r="U429" s="83" t="s">
        <v>261</v>
      </c>
    </row>
    <row r="430" spans="1:21" ht="120">
      <c r="A430" s="77">
        <v>19</v>
      </c>
      <c r="B430" s="79" t="s">
        <v>279</v>
      </c>
      <c r="C430" s="77" t="s">
        <v>19</v>
      </c>
      <c r="D430" s="37" t="s">
        <v>2015</v>
      </c>
      <c r="E430" s="51" t="s">
        <v>1877</v>
      </c>
      <c r="F430" s="80" t="s">
        <v>159</v>
      </c>
      <c r="G430" s="79" t="s">
        <v>1869</v>
      </c>
      <c r="H430" s="79" t="s">
        <v>1869</v>
      </c>
      <c r="I430" s="79" t="s">
        <v>1929</v>
      </c>
      <c r="J430" s="90">
        <v>9.5</v>
      </c>
      <c r="K430" s="90">
        <v>314.61</v>
      </c>
      <c r="L430" s="42" t="s">
        <v>1984</v>
      </c>
      <c r="M430" s="42" t="s">
        <v>298</v>
      </c>
      <c r="N430" s="79" t="s">
        <v>380</v>
      </c>
      <c r="O430" s="80">
        <v>346.62</v>
      </c>
      <c r="P430" s="80"/>
      <c r="Q430" s="80">
        <f t="shared" si="23"/>
        <v>346.62</v>
      </c>
      <c r="R430" s="80">
        <f>319.06+20+0.04</f>
        <v>339.1</v>
      </c>
      <c r="S430" s="80">
        <v>9.5</v>
      </c>
      <c r="T430" s="83" t="s">
        <v>142</v>
      </c>
      <c r="U430" s="83" t="s">
        <v>261</v>
      </c>
    </row>
    <row r="431" spans="1:21" ht="90">
      <c r="A431" s="77">
        <v>14</v>
      </c>
      <c r="B431" s="79" t="s">
        <v>279</v>
      </c>
      <c r="C431" s="77" t="s">
        <v>19</v>
      </c>
      <c r="D431" s="37" t="s">
        <v>2016</v>
      </c>
      <c r="E431" s="51" t="s">
        <v>1890</v>
      </c>
      <c r="F431" s="80" t="s">
        <v>159</v>
      </c>
      <c r="G431" s="79" t="s">
        <v>1872</v>
      </c>
      <c r="H431" s="79" t="s">
        <v>1864</v>
      </c>
      <c r="I431" s="79" t="s">
        <v>2017</v>
      </c>
      <c r="J431" s="90">
        <v>13.52</v>
      </c>
      <c r="K431" s="90">
        <v>462.22</v>
      </c>
      <c r="L431" s="42" t="s">
        <v>2018</v>
      </c>
      <c r="M431" s="42" t="s">
        <v>2019</v>
      </c>
      <c r="N431" s="79" t="s">
        <v>308</v>
      </c>
      <c r="O431" s="80">
        <v>512</v>
      </c>
      <c r="P431" s="80"/>
      <c r="Q431" s="80">
        <f t="shared" si="23"/>
        <v>512</v>
      </c>
      <c r="R431" s="80">
        <v>463.47</v>
      </c>
      <c r="S431" s="80">
        <v>13.5</v>
      </c>
      <c r="T431" s="83" t="s">
        <v>142</v>
      </c>
      <c r="U431" s="83" t="s">
        <v>261</v>
      </c>
    </row>
    <row r="432" spans="1:21" ht="105">
      <c r="A432" s="77">
        <v>20</v>
      </c>
      <c r="B432" s="79" t="s">
        <v>279</v>
      </c>
      <c r="C432" s="77" t="s">
        <v>19</v>
      </c>
      <c r="D432" s="37" t="s">
        <v>2022</v>
      </c>
      <c r="E432" s="51" t="s">
        <v>1933</v>
      </c>
      <c r="F432" s="80" t="s">
        <v>159</v>
      </c>
      <c r="G432" s="79" t="s">
        <v>1869</v>
      </c>
      <c r="H432" s="79" t="s">
        <v>1869</v>
      </c>
      <c r="I432" s="79" t="s">
        <v>2023</v>
      </c>
      <c r="J432" s="90">
        <v>3.9</v>
      </c>
      <c r="K432" s="90">
        <v>140.33</v>
      </c>
      <c r="L432" s="42" t="s">
        <v>1984</v>
      </c>
      <c r="M432" s="42" t="s">
        <v>2024</v>
      </c>
      <c r="N432" s="79" t="s">
        <v>1774</v>
      </c>
      <c r="O432" s="80">
        <v>143.11</v>
      </c>
      <c r="P432" s="80"/>
      <c r="Q432" s="80">
        <f t="shared" si="23"/>
        <v>143.11</v>
      </c>
      <c r="R432" s="80">
        <f>63.48+7.9+83.46</f>
        <v>154.83999999999997</v>
      </c>
      <c r="S432" s="80">
        <v>3.9</v>
      </c>
      <c r="T432" s="83" t="s">
        <v>142</v>
      </c>
      <c r="U432" s="83" t="s">
        <v>261</v>
      </c>
    </row>
    <row r="433" spans="1:21" ht="105">
      <c r="A433" s="77">
        <v>10</v>
      </c>
      <c r="B433" s="79" t="s">
        <v>279</v>
      </c>
      <c r="C433" s="77" t="s">
        <v>19</v>
      </c>
      <c r="D433" s="37" t="s">
        <v>2025</v>
      </c>
      <c r="E433" s="51" t="s">
        <v>1935</v>
      </c>
      <c r="F433" s="80" t="s">
        <v>159</v>
      </c>
      <c r="G433" s="79" t="s">
        <v>19</v>
      </c>
      <c r="H433" s="79" t="s">
        <v>1869</v>
      </c>
      <c r="I433" s="79" t="s">
        <v>895</v>
      </c>
      <c r="J433" s="90">
        <v>2.2</v>
      </c>
      <c r="K433" s="90">
        <v>67.79</v>
      </c>
      <c r="L433" s="42" t="s">
        <v>2026</v>
      </c>
      <c r="M433" s="42" t="s">
        <v>1956</v>
      </c>
      <c r="N433" s="79"/>
      <c r="O433" s="80">
        <v>71.81</v>
      </c>
      <c r="P433" s="80"/>
      <c r="Q433" s="80">
        <f t="shared" si="23"/>
        <v>71.81</v>
      </c>
      <c r="R433" s="80">
        <v>63.7</v>
      </c>
      <c r="S433" s="80">
        <v>2.2</v>
      </c>
      <c r="T433" s="83" t="s">
        <v>142</v>
      </c>
      <c r="U433" s="83" t="s">
        <v>261</v>
      </c>
    </row>
    <row r="434" spans="1:21" ht="75">
      <c r="A434" s="77">
        <v>15</v>
      </c>
      <c r="B434" s="79" t="s">
        <v>279</v>
      </c>
      <c r="C434" s="77" t="s">
        <v>19</v>
      </c>
      <c r="D434" s="37" t="s">
        <v>2027</v>
      </c>
      <c r="E434" s="51" t="s">
        <v>1939</v>
      </c>
      <c r="F434" s="80" t="s">
        <v>159</v>
      </c>
      <c r="G434" s="79" t="s">
        <v>1872</v>
      </c>
      <c r="H434" s="79" t="s">
        <v>1864</v>
      </c>
      <c r="I434" s="79" t="s">
        <v>2017</v>
      </c>
      <c r="J434" s="90">
        <v>7</v>
      </c>
      <c r="K434" s="90">
        <v>255.21</v>
      </c>
      <c r="L434" s="42" t="s">
        <v>2026</v>
      </c>
      <c r="M434" s="42" t="s">
        <v>945</v>
      </c>
      <c r="N434" s="79" t="s">
        <v>2028</v>
      </c>
      <c r="O434" s="80">
        <v>277.19</v>
      </c>
      <c r="P434" s="80"/>
      <c r="Q434" s="80">
        <f>SUM(O434:P434)</f>
        <v>277.19</v>
      </c>
      <c r="R434" s="80">
        <f>273.42+17.6</f>
        <v>291.02000000000004</v>
      </c>
      <c r="S434" s="80">
        <v>7</v>
      </c>
      <c r="T434" s="83" t="s">
        <v>142</v>
      </c>
      <c r="U434" s="83" t="s">
        <v>261</v>
      </c>
    </row>
    <row r="435" spans="1:21" ht="90">
      <c r="A435" s="77">
        <v>21</v>
      </c>
      <c r="B435" s="79" t="s">
        <v>279</v>
      </c>
      <c r="C435" s="77" t="s">
        <v>19</v>
      </c>
      <c r="D435" s="37" t="s">
        <v>2029</v>
      </c>
      <c r="E435" s="51" t="s">
        <v>1941</v>
      </c>
      <c r="F435" s="80" t="s">
        <v>159</v>
      </c>
      <c r="G435" s="79" t="s">
        <v>1869</v>
      </c>
      <c r="H435" s="79" t="s">
        <v>1869</v>
      </c>
      <c r="I435" s="79" t="s">
        <v>2030</v>
      </c>
      <c r="J435" s="90">
        <v>2.1</v>
      </c>
      <c r="K435" s="90">
        <v>70.58</v>
      </c>
      <c r="L435" s="42" t="s">
        <v>2026</v>
      </c>
      <c r="M435" s="42" t="s">
        <v>2031</v>
      </c>
      <c r="N435" s="79" t="s">
        <v>1391</v>
      </c>
      <c r="O435" s="80">
        <v>73.43</v>
      </c>
      <c r="P435" s="80"/>
      <c r="Q435" s="80">
        <f>SUM(O435:P435)</f>
        <v>73.43</v>
      </c>
      <c r="R435" s="80">
        <v>71.62</v>
      </c>
      <c r="S435" s="80">
        <v>2.1</v>
      </c>
      <c r="T435" s="83" t="s">
        <v>142</v>
      </c>
      <c r="U435" s="83" t="s">
        <v>261</v>
      </c>
    </row>
    <row r="436" spans="1:21" ht="76.5">
      <c r="A436" s="77">
        <v>16</v>
      </c>
      <c r="B436" s="79" t="s">
        <v>313</v>
      </c>
      <c r="C436" s="77" t="s">
        <v>19</v>
      </c>
      <c r="D436" s="69" t="s">
        <v>2032</v>
      </c>
      <c r="E436" s="77" t="s">
        <v>1868</v>
      </c>
      <c r="F436" s="79" t="s">
        <v>135</v>
      </c>
      <c r="G436" s="111" t="s">
        <v>1872</v>
      </c>
      <c r="H436" s="111" t="s">
        <v>1864</v>
      </c>
      <c r="I436" s="111" t="s">
        <v>2033</v>
      </c>
      <c r="J436" s="80">
        <v>3.9</v>
      </c>
      <c r="K436" s="80">
        <v>168.87</v>
      </c>
      <c r="L436" s="42" t="s">
        <v>2034</v>
      </c>
      <c r="M436" s="42" t="s">
        <v>2035</v>
      </c>
      <c r="N436" s="80" t="s">
        <v>2036</v>
      </c>
      <c r="O436" s="80">
        <v>84.56</v>
      </c>
      <c r="P436" s="80"/>
      <c r="Q436" s="80">
        <f aca="true" t="shared" si="24" ref="Q436:Q443">SUM(O436:P436)</f>
        <v>84.56</v>
      </c>
      <c r="R436" s="80">
        <f>52.22+82.41-64.71</f>
        <v>69.92</v>
      </c>
      <c r="S436" s="80">
        <v>3.9</v>
      </c>
      <c r="T436" s="56" t="s">
        <v>142</v>
      </c>
      <c r="U436" s="56" t="s">
        <v>261</v>
      </c>
    </row>
    <row r="437" spans="1:21" ht="89.25">
      <c r="A437" s="77">
        <v>7</v>
      </c>
      <c r="B437" s="79" t="s">
        <v>313</v>
      </c>
      <c r="C437" s="77" t="s">
        <v>19</v>
      </c>
      <c r="D437" s="39" t="s">
        <v>2039</v>
      </c>
      <c r="E437" s="84" t="s">
        <v>1890</v>
      </c>
      <c r="F437" s="79" t="s">
        <v>159</v>
      </c>
      <c r="G437" s="79" t="s">
        <v>1891</v>
      </c>
      <c r="H437" s="79" t="s">
        <v>2007</v>
      </c>
      <c r="I437" s="79" t="s">
        <v>923</v>
      </c>
      <c r="J437" s="80">
        <v>5.99</v>
      </c>
      <c r="K437" s="80">
        <v>188.53</v>
      </c>
      <c r="L437" s="42" t="s">
        <v>2040</v>
      </c>
      <c r="M437" s="42" t="s">
        <v>1773</v>
      </c>
      <c r="N437" s="80" t="s">
        <v>380</v>
      </c>
      <c r="O437" s="80">
        <v>154.06</v>
      </c>
      <c r="P437" s="80"/>
      <c r="Q437" s="80">
        <f t="shared" si="24"/>
        <v>154.06</v>
      </c>
      <c r="R437" s="80">
        <f>192.03</f>
        <v>192.03</v>
      </c>
      <c r="S437" s="80">
        <v>5.99</v>
      </c>
      <c r="T437" s="56" t="s">
        <v>142</v>
      </c>
      <c r="U437" s="56" t="s">
        <v>261</v>
      </c>
    </row>
    <row r="438" spans="1:21" ht="114.75">
      <c r="A438" s="77">
        <v>8</v>
      </c>
      <c r="B438" s="79" t="s">
        <v>313</v>
      </c>
      <c r="C438" s="77" t="s">
        <v>19</v>
      </c>
      <c r="D438" s="39" t="s">
        <v>2041</v>
      </c>
      <c r="E438" s="84" t="s">
        <v>1928</v>
      </c>
      <c r="F438" s="79" t="s">
        <v>159</v>
      </c>
      <c r="G438" s="79" t="s">
        <v>1891</v>
      </c>
      <c r="H438" s="79" t="s">
        <v>2007</v>
      </c>
      <c r="I438" s="79" t="s">
        <v>2042</v>
      </c>
      <c r="J438" s="80">
        <v>18.79</v>
      </c>
      <c r="K438" s="80">
        <v>563.02</v>
      </c>
      <c r="L438" s="42" t="s">
        <v>2040</v>
      </c>
      <c r="M438" s="42" t="s">
        <v>1773</v>
      </c>
      <c r="N438" s="80" t="s">
        <v>676</v>
      </c>
      <c r="O438" s="80">
        <v>458.64</v>
      </c>
      <c r="P438" s="80"/>
      <c r="Q438" s="80">
        <f t="shared" si="24"/>
        <v>458.64</v>
      </c>
      <c r="R438" s="80">
        <f>565.33</f>
        <v>565.33</v>
      </c>
      <c r="S438" s="80">
        <v>17</v>
      </c>
      <c r="T438" s="57" t="s">
        <v>142</v>
      </c>
      <c r="U438" s="56" t="s">
        <v>261</v>
      </c>
    </row>
    <row r="439" spans="1:21" ht="102">
      <c r="A439" s="77">
        <v>9</v>
      </c>
      <c r="B439" s="79" t="s">
        <v>313</v>
      </c>
      <c r="C439" s="77" t="s">
        <v>19</v>
      </c>
      <c r="D439" s="69" t="s">
        <v>2045</v>
      </c>
      <c r="E439" s="77" t="s">
        <v>1935</v>
      </c>
      <c r="F439" s="79" t="s">
        <v>391</v>
      </c>
      <c r="G439" s="111" t="s">
        <v>1891</v>
      </c>
      <c r="H439" s="79" t="s">
        <v>2007</v>
      </c>
      <c r="I439" s="111" t="s">
        <v>2046</v>
      </c>
      <c r="J439" s="80">
        <v>15</v>
      </c>
      <c r="K439" s="80">
        <v>453.38</v>
      </c>
      <c r="L439" s="42" t="s">
        <v>2034</v>
      </c>
      <c r="M439" s="42" t="s">
        <v>2035</v>
      </c>
      <c r="N439" s="80" t="s">
        <v>666</v>
      </c>
      <c r="O439" s="80">
        <v>325.83</v>
      </c>
      <c r="P439" s="80"/>
      <c r="Q439" s="80">
        <f t="shared" si="24"/>
        <v>325.83</v>
      </c>
      <c r="R439" s="80">
        <f>564.62</f>
        <v>564.62</v>
      </c>
      <c r="S439" s="80">
        <v>15</v>
      </c>
      <c r="T439" s="57" t="s">
        <v>142</v>
      </c>
      <c r="U439" s="56" t="s">
        <v>261</v>
      </c>
    </row>
    <row r="440" spans="1:21" ht="127.5">
      <c r="A440" s="77">
        <v>10</v>
      </c>
      <c r="B440" s="79" t="s">
        <v>313</v>
      </c>
      <c r="C440" s="77" t="s">
        <v>19</v>
      </c>
      <c r="D440" s="39" t="s">
        <v>2047</v>
      </c>
      <c r="E440" s="77" t="s">
        <v>1937</v>
      </c>
      <c r="F440" s="79" t="s">
        <v>159</v>
      </c>
      <c r="G440" s="79" t="s">
        <v>1891</v>
      </c>
      <c r="H440" s="79" t="s">
        <v>2007</v>
      </c>
      <c r="I440" s="79" t="s">
        <v>2046</v>
      </c>
      <c r="J440" s="90">
        <v>7.7</v>
      </c>
      <c r="K440" s="58">
        <v>250.83</v>
      </c>
      <c r="L440" s="42" t="s">
        <v>2034</v>
      </c>
      <c r="M440" s="42" t="s">
        <v>2048</v>
      </c>
      <c r="N440" s="58" t="s">
        <v>273</v>
      </c>
      <c r="O440" s="58">
        <v>187.88</v>
      </c>
      <c r="P440" s="58"/>
      <c r="Q440" s="58">
        <f t="shared" si="24"/>
        <v>187.88</v>
      </c>
      <c r="R440" s="80">
        <v>308.35</v>
      </c>
      <c r="S440" s="80">
        <v>6.5</v>
      </c>
      <c r="T440" s="56" t="s">
        <v>142</v>
      </c>
      <c r="U440" s="56" t="s">
        <v>261</v>
      </c>
    </row>
    <row r="441" spans="1:21" ht="89.25">
      <c r="A441" s="77">
        <v>1</v>
      </c>
      <c r="B441" s="79" t="s">
        <v>313</v>
      </c>
      <c r="C441" s="77" t="s">
        <v>19</v>
      </c>
      <c r="D441" s="69" t="s">
        <v>2049</v>
      </c>
      <c r="E441" s="84" t="s">
        <v>1939</v>
      </c>
      <c r="F441" s="79" t="s">
        <v>159</v>
      </c>
      <c r="G441" s="111" t="s">
        <v>2007</v>
      </c>
      <c r="H441" s="79" t="s">
        <v>2007</v>
      </c>
      <c r="I441" s="111" t="s">
        <v>311</v>
      </c>
      <c r="J441" s="80">
        <v>5.4</v>
      </c>
      <c r="K441" s="80">
        <v>192.64</v>
      </c>
      <c r="L441" s="42" t="s">
        <v>2040</v>
      </c>
      <c r="M441" s="42" t="s">
        <v>2050</v>
      </c>
      <c r="N441" s="80" t="s">
        <v>308</v>
      </c>
      <c r="O441" s="80">
        <v>150.61</v>
      </c>
      <c r="P441" s="80"/>
      <c r="Q441" s="80">
        <f t="shared" si="24"/>
        <v>150.61</v>
      </c>
      <c r="R441" s="80">
        <v>180.29</v>
      </c>
      <c r="S441" s="80">
        <v>4.8</v>
      </c>
      <c r="T441" s="56" t="s">
        <v>142</v>
      </c>
      <c r="U441" s="56" t="s">
        <v>261</v>
      </c>
    </row>
    <row r="442" spans="1:21" ht="105" customHeight="1">
      <c r="A442" s="77">
        <v>2</v>
      </c>
      <c r="B442" s="79" t="s">
        <v>313</v>
      </c>
      <c r="C442" s="77" t="s">
        <v>19</v>
      </c>
      <c r="D442" s="69" t="s">
        <v>2051</v>
      </c>
      <c r="E442" s="84" t="s">
        <v>1941</v>
      </c>
      <c r="F442" s="79" t="s">
        <v>159</v>
      </c>
      <c r="G442" s="111" t="s">
        <v>2007</v>
      </c>
      <c r="H442" s="79" t="s">
        <v>2007</v>
      </c>
      <c r="I442" s="126" t="s">
        <v>2052</v>
      </c>
      <c r="J442" s="80">
        <v>1.2</v>
      </c>
      <c r="K442" s="80">
        <v>36.7</v>
      </c>
      <c r="L442" s="42" t="s">
        <v>2040</v>
      </c>
      <c r="M442" s="42" t="s">
        <v>1773</v>
      </c>
      <c r="N442" s="80" t="s">
        <v>308</v>
      </c>
      <c r="O442" s="80">
        <v>30.61</v>
      </c>
      <c r="P442" s="80"/>
      <c r="Q442" s="80">
        <f t="shared" si="24"/>
        <v>30.61</v>
      </c>
      <c r="R442" s="80">
        <v>58.82</v>
      </c>
      <c r="S442" s="80">
        <v>1.25</v>
      </c>
      <c r="T442" s="56" t="s">
        <v>142</v>
      </c>
      <c r="U442" s="56" t="s">
        <v>261</v>
      </c>
    </row>
    <row r="443" spans="1:21" ht="89.25">
      <c r="A443" s="77">
        <v>11</v>
      </c>
      <c r="B443" s="79" t="s">
        <v>313</v>
      </c>
      <c r="C443" s="77" t="s">
        <v>19</v>
      </c>
      <c r="D443" s="69" t="s">
        <v>2056</v>
      </c>
      <c r="E443" s="84" t="s">
        <v>1998</v>
      </c>
      <c r="F443" s="79" t="s">
        <v>159</v>
      </c>
      <c r="G443" s="111" t="s">
        <v>1891</v>
      </c>
      <c r="H443" s="79" t="s">
        <v>2007</v>
      </c>
      <c r="I443" s="111" t="s">
        <v>1027</v>
      </c>
      <c r="J443" s="80">
        <v>18.5</v>
      </c>
      <c r="K443" s="80">
        <v>561.33</v>
      </c>
      <c r="L443" s="42" t="s">
        <v>2057</v>
      </c>
      <c r="M443" s="42" t="s">
        <v>2058</v>
      </c>
      <c r="N443" s="80" t="s">
        <v>893</v>
      </c>
      <c r="O443" s="80">
        <v>550.1</v>
      </c>
      <c r="P443" s="80"/>
      <c r="Q443" s="80">
        <f t="shared" si="24"/>
        <v>550.1</v>
      </c>
      <c r="R443" s="80">
        <v>401.95</v>
      </c>
      <c r="S443" s="80">
        <v>18</v>
      </c>
      <c r="T443" s="56" t="s">
        <v>142</v>
      </c>
      <c r="U443" s="56" t="s">
        <v>261</v>
      </c>
    </row>
    <row r="444" spans="1:21" ht="127.5">
      <c r="A444" s="77">
        <v>12</v>
      </c>
      <c r="B444" s="79" t="s">
        <v>313</v>
      </c>
      <c r="C444" s="77" t="s">
        <v>19</v>
      </c>
      <c r="D444" s="39" t="s">
        <v>2068</v>
      </c>
      <c r="E444" s="77" t="s">
        <v>2069</v>
      </c>
      <c r="F444" s="79" t="s">
        <v>159</v>
      </c>
      <c r="G444" s="79" t="s">
        <v>1891</v>
      </c>
      <c r="H444" s="79" t="s">
        <v>2007</v>
      </c>
      <c r="I444" s="79" t="s">
        <v>2070</v>
      </c>
      <c r="J444" s="90">
        <v>10</v>
      </c>
      <c r="K444" s="58">
        <v>286.07</v>
      </c>
      <c r="L444" s="42" t="s">
        <v>2034</v>
      </c>
      <c r="M444" s="42" t="s">
        <v>2048</v>
      </c>
      <c r="N444" s="58" t="s">
        <v>273</v>
      </c>
      <c r="O444" s="58">
        <v>232.13</v>
      </c>
      <c r="P444" s="58">
        <v>11.88</v>
      </c>
      <c r="Q444" s="80">
        <f>SUM(O444:P444)</f>
        <v>244.01</v>
      </c>
      <c r="R444" s="80">
        <f>345.28</f>
        <v>345.28</v>
      </c>
      <c r="S444" s="80">
        <v>10</v>
      </c>
      <c r="T444" s="56" t="s">
        <v>142</v>
      </c>
      <c r="U444" s="56" t="s">
        <v>261</v>
      </c>
    </row>
    <row r="445" spans="1:21" ht="89.25">
      <c r="A445" s="77">
        <v>22</v>
      </c>
      <c r="B445" s="79" t="s">
        <v>389</v>
      </c>
      <c r="C445" s="77" t="s">
        <v>19</v>
      </c>
      <c r="D445" s="118" t="s">
        <v>2075</v>
      </c>
      <c r="E445" s="119" t="s">
        <v>1868</v>
      </c>
      <c r="F445" s="119" t="s">
        <v>135</v>
      </c>
      <c r="G445" s="119" t="s">
        <v>1869</v>
      </c>
      <c r="H445" s="119" t="s">
        <v>1869</v>
      </c>
      <c r="I445" s="119" t="s">
        <v>2076</v>
      </c>
      <c r="J445" s="150">
        <v>5.25</v>
      </c>
      <c r="K445" s="151">
        <v>271.22</v>
      </c>
      <c r="L445" s="42" t="s">
        <v>2077</v>
      </c>
      <c r="M445" s="42" t="s">
        <v>2078</v>
      </c>
      <c r="N445" s="119" t="s">
        <v>294</v>
      </c>
      <c r="O445" s="151">
        <v>280.67</v>
      </c>
      <c r="P445" s="151"/>
      <c r="Q445" s="151">
        <f>SUM(O445:P445)</f>
        <v>280.67</v>
      </c>
      <c r="R445" s="127">
        <v>212.02</v>
      </c>
      <c r="S445" s="127">
        <v>5.25</v>
      </c>
      <c r="T445" s="152" t="s">
        <v>142</v>
      </c>
      <c r="U445" s="122"/>
    </row>
    <row r="446" spans="1:21" ht="76.5">
      <c r="A446" s="77">
        <v>11</v>
      </c>
      <c r="B446" s="79" t="s">
        <v>395</v>
      </c>
      <c r="C446" s="77" t="s">
        <v>19</v>
      </c>
      <c r="D446" s="130" t="s">
        <v>2082</v>
      </c>
      <c r="E446" s="60" t="s">
        <v>1863</v>
      </c>
      <c r="F446" s="60" t="s">
        <v>135</v>
      </c>
      <c r="G446" s="60" t="s">
        <v>19</v>
      </c>
      <c r="H446" s="40" t="s">
        <v>1869</v>
      </c>
      <c r="I446" s="40" t="s">
        <v>2083</v>
      </c>
      <c r="J446" s="40">
        <v>4.35</v>
      </c>
      <c r="K446" s="40">
        <v>201.26</v>
      </c>
      <c r="L446" s="42" t="s">
        <v>2084</v>
      </c>
      <c r="M446" s="42" t="s">
        <v>424</v>
      </c>
      <c r="N446" s="40" t="s">
        <v>643</v>
      </c>
      <c r="O446" s="77"/>
      <c r="P446" s="77"/>
      <c r="Q446" s="40">
        <v>153.02</v>
      </c>
      <c r="R446" s="40">
        <v>170.78</v>
      </c>
      <c r="S446" s="40">
        <v>4.35</v>
      </c>
      <c r="T446" s="62" t="s">
        <v>397</v>
      </c>
      <c r="U446" s="77"/>
    </row>
    <row r="447" spans="1:21" ht="76.5">
      <c r="A447" s="77">
        <v>23</v>
      </c>
      <c r="B447" s="79" t="s">
        <v>395</v>
      </c>
      <c r="C447" s="77" t="s">
        <v>19</v>
      </c>
      <c r="D447" s="130" t="s">
        <v>2085</v>
      </c>
      <c r="E447" s="60" t="s">
        <v>1868</v>
      </c>
      <c r="F447" s="60" t="s">
        <v>159</v>
      </c>
      <c r="G447" s="60" t="s">
        <v>1869</v>
      </c>
      <c r="H447" s="40" t="s">
        <v>1873</v>
      </c>
      <c r="I447" s="40" t="s">
        <v>2086</v>
      </c>
      <c r="J447" s="40">
        <v>7</v>
      </c>
      <c r="K447" s="40">
        <v>289.85</v>
      </c>
      <c r="L447" s="42" t="s">
        <v>278</v>
      </c>
      <c r="M447" s="42" t="s">
        <v>685</v>
      </c>
      <c r="N447" s="40" t="s">
        <v>1013</v>
      </c>
      <c r="O447" s="77"/>
      <c r="P447" s="77"/>
      <c r="Q447" s="40">
        <v>257.59</v>
      </c>
      <c r="R447" s="40">
        <v>185.99</v>
      </c>
      <c r="S447" s="40">
        <v>6.5</v>
      </c>
      <c r="T447" s="62" t="s">
        <v>397</v>
      </c>
      <c r="U447" s="77"/>
    </row>
    <row r="448" spans="1:21" ht="76.5">
      <c r="A448" s="77">
        <v>24</v>
      </c>
      <c r="B448" s="79" t="s">
        <v>395</v>
      </c>
      <c r="C448" s="77" t="s">
        <v>19</v>
      </c>
      <c r="D448" s="130" t="s">
        <v>2087</v>
      </c>
      <c r="E448" s="60" t="s">
        <v>1871</v>
      </c>
      <c r="F448" s="60" t="s">
        <v>159</v>
      </c>
      <c r="G448" s="60" t="s">
        <v>1869</v>
      </c>
      <c r="H448" s="40" t="s">
        <v>1873</v>
      </c>
      <c r="I448" s="40" t="s">
        <v>2088</v>
      </c>
      <c r="J448" s="40">
        <v>2.33</v>
      </c>
      <c r="K448" s="40">
        <v>99.36</v>
      </c>
      <c r="L448" s="42" t="s">
        <v>278</v>
      </c>
      <c r="M448" s="42" t="s">
        <v>671</v>
      </c>
      <c r="N448" s="40" t="s">
        <v>1058</v>
      </c>
      <c r="O448" s="77"/>
      <c r="P448" s="77"/>
      <c r="Q448" s="40">
        <v>92.49</v>
      </c>
      <c r="R448" s="40">
        <v>73.59</v>
      </c>
      <c r="S448" s="40">
        <v>2.33</v>
      </c>
      <c r="T448" s="62" t="s">
        <v>397</v>
      </c>
      <c r="U448" s="77"/>
    </row>
    <row r="449" spans="1:21" ht="76.5">
      <c r="A449" s="77">
        <v>17</v>
      </c>
      <c r="B449" s="79" t="s">
        <v>395</v>
      </c>
      <c r="C449" s="77" t="s">
        <v>19</v>
      </c>
      <c r="D449" s="136" t="s">
        <v>2089</v>
      </c>
      <c r="E449" s="60" t="s">
        <v>1877</v>
      </c>
      <c r="F449" s="60" t="s">
        <v>159</v>
      </c>
      <c r="G449" s="60" t="s">
        <v>1872</v>
      </c>
      <c r="H449" s="40" t="s">
        <v>1873</v>
      </c>
      <c r="I449" s="40" t="s">
        <v>354</v>
      </c>
      <c r="J449" s="40">
        <v>1.6</v>
      </c>
      <c r="K449" s="40">
        <v>67.13</v>
      </c>
      <c r="L449" s="42" t="s">
        <v>2090</v>
      </c>
      <c r="M449" s="42" t="s">
        <v>2091</v>
      </c>
      <c r="N449" s="40" t="s">
        <v>322</v>
      </c>
      <c r="O449" s="77"/>
      <c r="P449" s="77"/>
      <c r="Q449" s="40">
        <v>62.75</v>
      </c>
      <c r="R449" s="40">
        <v>51.49</v>
      </c>
      <c r="S449" s="40">
        <f>1.6</f>
        <v>1.6</v>
      </c>
      <c r="T449" s="62" t="s">
        <v>397</v>
      </c>
      <c r="U449" s="77"/>
    </row>
    <row r="450" spans="1:21" ht="76.5">
      <c r="A450" s="77">
        <v>18</v>
      </c>
      <c r="B450" s="79" t="s">
        <v>395</v>
      </c>
      <c r="C450" s="77" t="s">
        <v>19</v>
      </c>
      <c r="D450" s="136" t="s">
        <v>2092</v>
      </c>
      <c r="E450" s="60" t="s">
        <v>1890</v>
      </c>
      <c r="F450" s="60" t="s">
        <v>159</v>
      </c>
      <c r="G450" s="60" t="s">
        <v>1872</v>
      </c>
      <c r="H450" s="40" t="s">
        <v>1869</v>
      </c>
      <c r="I450" s="40" t="s">
        <v>2093</v>
      </c>
      <c r="J450" s="40">
        <v>3.66</v>
      </c>
      <c r="K450" s="40">
        <v>181.79</v>
      </c>
      <c r="L450" s="42" t="s">
        <v>2094</v>
      </c>
      <c r="M450" s="42" t="s">
        <v>1142</v>
      </c>
      <c r="N450" s="40" t="s">
        <v>676</v>
      </c>
      <c r="O450" s="77"/>
      <c r="P450" s="77"/>
      <c r="Q450" s="40">
        <v>145.73</v>
      </c>
      <c r="R450" s="40">
        <v>148.64</v>
      </c>
      <c r="S450" s="40">
        <v>3.66</v>
      </c>
      <c r="T450" s="62" t="s">
        <v>397</v>
      </c>
      <c r="U450" s="77"/>
    </row>
    <row r="451" spans="1:21" ht="89.25">
      <c r="A451" s="77">
        <v>12</v>
      </c>
      <c r="B451" s="79" t="s">
        <v>395</v>
      </c>
      <c r="C451" s="77" t="s">
        <v>19</v>
      </c>
      <c r="D451" s="136" t="s">
        <v>2095</v>
      </c>
      <c r="E451" s="60" t="s">
        <v>1928</v>
      </c>
      <c r="F451" s="60" t="s">
        <v>159</v>
      </c>
      <c r="G451" s="60" t="s">
        <v>19</v>
      </c>
      <c r="H451" s="40" t="s">
        <v>1869</v>
      </c>
      <c r="I451" s="40" t="s">
        <v>2096</v>
      </c>
      <c r="J451" s="40">
        <v>5.73</v>
      </c>
      <c r="K451" s="40">
        <v>277.4</v>
      </c>
      <c r="L451" s="42" t="s">
        <v>2097</v>
      </c>
      <c r="M451" s="42" t="s">
        <v>2098</v>
      </c>
      <c r="N451" s="40" t="s">
        <v>1058</v>
      </c>
      <c r="O451" s="77"/>
      <c r="P451" s="77"/>
      <c r="Q451" s="40">
        <v>261.67</v>
      </c>
      <c r="R451" s="40">
        <f>230.85+120</f>
        <v>350.85</v>
      </c>
      <c r="S451" s="40">
        <v>5.73</v>
      </c>
      <c r="T451" s="62" t="s">
        <v>397</v>
      </c>
      <c r="U451" s="77"/>
    </row>
    <row r="452" spans="1:21" ht="76.5">
      <c r="A452" s="77">
        <v>19</v>
      </c>
      <c r="B452" s="79" t="s">
        <v>395</v>
      </c>
      <c r="C452" s="77" t="s">
        <v>19</v>
      </c>
      <c r="D452" s="136" t="s">
        <v>2099</v>
      </c>
      <c r="E452" s="60" t="s">
        <v>1933</v>
      </c>
      <c r="F452" s="60" t="s">
        <v>159</v>
      </c>
      <c r="G452" s="60" t="s">
        <v>1872</v>
      </c>
      <c r="H452" s="40" t="s">
        <v>1864</v>
      </c>
      <c r="I452" s="40" t="s">
        <v>2100</v>
      </c>
      <c r="J452" s="40">
        <v>4.87</v>
      </c>
      <c r="K452" s="40">
        <v>218.53</v>
      </c>
      <c r="L452" s="42" t="s">
        <v>278</v>
      </c>
      <c r="M452" s="42" t="s">
        <v>685</v>
      </c>
      <c r="N452" s="40" t="s">
        <v>348</v>
      </c>
      <c r="O452" s="77"/>
      <c r="P452" s="77"/>
      <c r="Q452" s="40">
        <v>213.9</v>
      </c>
      <c r="R452" s="40">
        <v>197.44</v>
      </c>
      <c r="S452" s="40">
        <v>4.87</v>
      </c>
      <c r="T452" s="62" t="s">
        <v>397</v>
      </c>
      <c r="U452" s="77"/>
    </row>
    <row r="453" spans="1:21" ht="89.25">
      <c r="A453" s="77">
        <v>20</v>
      </c>
      <c r="B453" s="79" t="s">
        <v>395</v>
      </c>
      <c r="C453" s="77" t="s">
        <v>19</v>
      </c>
      <c r="D453" s="130" t="s">
        <v>2105</v>
      </c>
      <c r="E453" s="60" t="s">
        <v>1937</v>
      </c>
      <c r="F453" s="60" t="s">
        <v>391</v>
      </c>
      <c r="G453" s="60" t="s">
        <v>1872</v>
      </c>
      <c r="H453" s="40" t="s">
        <v>1864</v>
      </c>
      <c r="I453" s="40" t="s">
        <v>2088</v>
      </c>
      <c r="J453" s="40">
        <v>2.15</v>
      </c>
      <c r="K453" s="40">
        <v>135.51</v>
      </c>
      <c r="L453" s="42" t="s">
        <v>660</v>
      </c>
      <c r="M453" s="42" t="s">
        <v>685</v>
      </c>
      <c r="N453" s="40" t="s">
        <v>268</v>
      </c>
      <c r="O453" s="77"/>
      <c r="P453" s="77"/>
      <c r="Q453" s="40">
        <v>136.96</v>
      </c>
      <c r="R453" s="40">
        <f>0.64+106.54</f>
        <v>107.18</v>
      </c>
      <c r="S453" s="40">
        <v>2.15</v>
      </c>
      <c r="T453" s="62" t="s">
        <v>397</v>
      </c>
      <c r="U453" s="77"/>
    </row>
    <row r="454" spans="1:21" ht="89.25">
      <c r="A454" s="77">
        <v>13</v>
      </c>
      <c r="B454" s="79" t="s">
        <v>395</v>
      </c>
      <c r="C454" s="77" t="s">
        <v>19</v>
      </c>
      <c r="D454" s="136" t="s">
        <v>2107</v>
      </c>
      <c r="E454" s="60" t="s">
        <v>1941</v>
      </c>
      <c r="F454" s="60" t="s">
        <v>159</v>
      </c>
      <c r="G454" s="60" t="s">
        <v>19</v>
      </c>
      <c r="H454" s="40" t="s">
        <v>1864</v>
      </c>
      <c r="I454" s="40" t="s">
        <v>2093</v>
      </c>
      <c r="J454" s="40">
        <v>11.7</v>
      </c>
      <c r="K454" s="40">
        <v>462.91</v>
      </c>
      <c r="L454" s="42" t="s">
        <v>278</v>
      </c>
      <c r="M454" s="42" t="s">
        <v>661</v>
      </c>
      <c r="N454" s="40" t="s">
        <v>294</v>
      </c>
      <c r="O454" s="77"/>
      <c r="P454" s="77"/>
      <c r="Q454" s="40">
        <v>462.91</v>
      </c>
      <c r="R454" s="40">
        <v>422.76</v>
      </c>
      <c r="S454" s="40">
        <v>11.7</v>
      </c>
      <c r="T454" s="62" t="s">
        <v>397</v>
      </c>
      <c r="U454" s="77"/>
    </row>
    <row r="455" spans="1:21" ht="76.5">
      <c r="A455" s="77">
        <v>25</v>
      </c>
      <c r="B455" s="79" t="s">
        <v>395</v>
      </c>
      <c r="C455" s="77" t="s">
        <v>19</v>
      </c>
      <c r="D455" s="136" t="s">
        <v>2108</v>
      </c>
      <c r="E455" s="60" t="s">
        <v>1947</v>
      </c>
      <c r="F455" s="60" t="s">
        <v>159</v>
      </c>
      <c r="G455" s="60" t="s">
        <v>1869</v>
      </c>
      <c r="H455" s="40" t="s">
        <v>1869</v>
      </c>
      <c r="I455" s="40" t="s">
        <v>2086</v>
      </c>
      <c r="J455" s="40">
        <v>4.18</v>
      </c>
      <c r="K455" s="40">
        <v>168.95</v>
      </c>
      <c r="L455" s="42" t="s">
        <v>1069</v>
      </c>
      <c r="M455" s="42" t="s">
        <v>2109</v>
      </c>
      <c r="N455" s="40" t="s">
        <v>294</v>
      </c>
      <c r="O455" s="77"/>
      <c r="P455" s="77"/>
      <c r="Q455" s="40">
        <v>151.32</v>
      </c>
      <c r="R455" s="40">
        <v>142.17</v>
      </c>
      <c r="S455" s="40">
        <v>4.18</v>
      </c>
      <c r="T455" s="62" t="s">
        <v>397</v>
      </c>
      <c r="U455" s="77"/>
    </row>
    <row r="456" spans="1:21" ht="63.75">
      <c r="A456" s="77">
        <v>14</v>
      </c>
      <c r="B456" s="79" t="s">
        <v>395</v>
      </c>
      <c r="C456" s="77" t="s">
        <v>19</v>
      </c>
      <c r="D456" s="136" t="s">
        <v>2110</v>
      </c>
      <c r="E456" s="60" t="s">
        <v>1994</v>
      </c>
      <c r="F456" s="60" t="s">
        <v>159</v>
      </c>
      <c r="G456" s="153" t="s">
        <v>19</v>
      </c>
      <c r="H456" s="40" t="s">
        <v>1869</v>
      </c>
      <c r="I456" s="40" t="s">
        <v>2100</v>
      </c>
      <c r="J456" s="40">
        <v>2.95</v>
      </c>
      <c r="K456" s="40">
        <v>145.23</v>
      </c>
      <c r="L456" s="42" t="s">
        <v>2097</v>
      </c>
      <c r="M456" s="42" t="s">
        <v>2098</v>
      </c>
      <c r="N456" s="40" t="s">
        <v>736</v>
      </c>
      <c r="O456" s="77"/>
      <c r="P456" s="77"/>
      <c r="Q456" s="40">
        <v>143.32</v>
      </c>
      <c r="R456" s="40">
        <v>126.13</v>
      </c>
      <c r="S456" s="154">
        <f>2.95</f>
        <v>2.95</v>
      </c>
      <c r="T456" s="62" t="s">
        <v>397</v>
      </c>
      <c r="U456" s="77"/>
    </row>
    <row r="457" spans="1:21" ht="89.25">
      <c r="A457" s="77">
        <v>4</v>
      </c>
      <c r="B457" s="79" t="s">
        <v>395</v>
      </c>
      <c r="C457" s="77" t="s">
        <v>19</v>
      </c>
      <c r="D457" s="130" t="s">
        <v>2111</v>
      </c>
      <c r="E457" s="60" t="s">
        <v>2112</v>
      </c>
      <c r="F457" s="60" t="s">
        <v>159</v>
      </c>
      <c r="G457" s="60" t="s">
        <v>1921</v>
      </c>
      <c r="H457" s="40" t="s">
        <v>2007</v>
      </c>
      <c r="I457" s="40" t="s">
        <v>2086</v>
      </c>
      <c r="J457" s="40">
        <v>12.25</v>
      </c>
      <c r="K457" s="40">
        <v>559.92</v>
      </c>
      <c r="L457" s="42" t="s">
        <v>2113</v>
      </c>
      <c r="M457" s="42" t="s">
        <v>1860</v>
      </c>
      <c r="N457" s="61" t="s">
        <v>666</v>
      </c>
      <c r="O457" s="77"/>
      <c r="P457" s="77"/>
      <c r="Q457" s="40">
        <v>618.53</v>
      </c>
      <c r="R457" s="40">
        <v>556.13</v>
      </c>
      <c r="S457" s="40">
        <v>12</v>
      </c>
      <c r="T457" s="62" t="s">
        <v>397</v>
      </c>
      <c r="U457" s="77"/>
    </row>
    <row r="458" spans="1:21" ht="89.25">
      <c r="A458" s="77">
        <v>21</v>
      </c>
      <c r="B458" s="79" t="s">
        <v>395</v>
      </c>
      <c r="C458" s="77" t="s">
        <v>19</v>
      </c>
      <c r="D458" s="136" t="s">
        <v>2123</v>
      </c>
      <c r="E458" s="60" t="s">
        <v>2124</v>
      </c>
      <c r="F458" s="60" t="s">
        <v>159</v>
      </c>
      <c r="G458" s="60" t="s">
        <v>1872</v>
      </c>
      <c r="H458" s="40" t="s">
        <v>1873</v>
      </c>
      <c r="I458" s="40" t="s">
        <v>2125</v>
      </c>
      <c r="J458" s="40">
        <v>4.5</v>
      </c>
      <c r="K458" s="40">
        <v>175.25</v>
      </c>
      <c r="L458" s="42" t="s">
        <v>278</v>
      </c>
      <c r="M458" s="42" t="s">
        <v>685</v>
      </c>
      <c r="N458" s="40" t="s">
        <v>1058</v>
      </c>
      <c r="O458" s="77"/>
      <c r="P458" s="77"/>
      <c r="Q458" s="40">
        <v>176.75</v>
      </c>
      <c r="R458" s="40">
        <v>161.08</v>
      </c>
      <c r="S458" s="40">
        <v>4.5</v>
      </c>
      <c r="T458" s="62" t="s">
        <v>397</v>
      </c>
      <c r="U458" s="77"/>
    </row>
    <row r="459" spans="1:21" ht="76.5">
      <c r="A459" s="77">
        <v>15</v>
      </c>
      <c r="B459" s="79" t="s">
        <v>415</v>
      </c>
      <c r="C459" s="77" t="s">
        <v>19</v>
      </c>
      <c r="D459" s="64" t="s">
        <v>2131</v>
      </c>
      <c r="E459" s="60" t="s">
        <v>1863</v>
      </c>
      <c r="F459" s="60" t="s">
        <v>391</v>
      </c>
      <c r="G459" s="60" t="s">
        <v>19</v>
      </c>
      <c r="H459" s="41" t="s">
        <v>1869</v>
      </c>
      <c r="I459" s="41" t="s">
        <v>2132</v>
      </c>
      <c r="J459" s="40">
        <v>9</v>
      </c>
      <c r="K459" s="40">
        <v>501.61</v>
      </c>
      <c r="L459" s="42" t="s">
        <v>698</v>
      </c>
      <c r="M459" s="42" t="s">
        <v>2133</v>
      </c>
      <c r="N459" s="63" t="s">
        <v>643</v>
      </c>
      <c r="O459" s="77"/>
      <c r="P459" s="77"/>
      <c r="Q459" s="78">
        <v>482.74</v>
      </c>
      <c r="R459" s="78">
        <v>463.55</v>
      </c>
      <c r="S459" s="78">
        <v>9</v>
      </c>
      <c r="T459" s="62" t="s">
        <v>397</v>
      </c>
      <c r="U459" s="63" t="s">
        <v>141</v>
      </c>
    </row>
    <row r="460" spans="1:21" ht="76.5">
      <c r="A460" s="77">
        <v>26</v>
      </c>
      <c r="B460" s="79" t="s">
        <v>415</v>
      </c>
      <c r="C460" s="77" t="s">
        <v>19</v>
      </c>
      <c r="D460" s="64" t="s">
        <v>2136</v>
      </c>
      <c r="E460" s="60" t="s">
        <v>1871</v>
      </c>
      <c r="F460" s="60" t="s">
        <v>391</v>
      </c>
      <c r="G460" s="60" t="s">
        <v>1869</v>
      </c>
      <c r="H460" s="41" t="s">
        <v>1869</v>
      </c>
      <c r="I460" s="41" t="s">
        <v>2137</v>
      </c>
      <c r="J460" s="40">
        <v>2</v>
      </c>
      <c r="K460" s="40">
        <v>102.38</v>
      </c>
      <c r="L460" s="42" t="s">
        <v>2138</v>
      </c>
      <c r="M460" s="42" t="s">
        <v>2139</v>
      </c>
      <c r="N460" s="63" t="s">
        <v>268</v>
      </c>
      <c r="O460" s="77"/>
      <c r="P460" s="77"/>
      <c r="Q460" s="78">
        <v>92.9</v>
      </c>
      <c r="R460" s="78">
        <v>83.96</v>
      </c>
      <c r="S460" s="78">
        <v>2</v>
      </c>
      <c r="T460" s="65" t="s">
        <v>397</v>
      </c>
      <c r="U460" s="63" t="s">
        <v>141</v>
      </c>
    </row>
    <row r="461" spans="1:21" ht="76.5">
      <c r="A461" s="77">
        <v>27</v>
      </c>
      <c r="B461" s="79" t="s">
        <v>415</v>
      </c>
      <c r="C461" s="77" t="s">
        <v>19</v>
      </c>
      <c r="D461" s="64" t="s">
        <v>2148</v>
      </c>
      <c r="E461" s="60" t="s">
        <v>1935</v>
      </c>
      <c r="F461" s="60" t="s">
        <v>391</v>
      </c>
      <c r="G461" s="60" t="s">
        <v>1869</v>
      </c>
      <c r="H461" s="41" t="s">
        <v>1869</v>
      </c>
      <c r="I461" s="41" t="s">
        <v>2132</v>
      </c>
      <c r="J461" s="40">
        <v>7.5</v>
      </c>
      <c r="K461" s="40">
        <v>466.99</v>
      </c>
      <c r="L461" s="42" t="s">
        <v>2149</v>
      </c>
      <c r="M461" s="42" t="s">
        <v>2120</v>
      </c>
      <c r="N461" s="63" t="s">
        <v>1058</v>
      </c>
      <c r="O461" s="77"/>
      <c r="P461" s="77"/>
      <c r="Q461" s="78">
        <v>392.29</v>
      </c>
      <c r="R461" s="78">
        <f>397.36+16.93</f>
        <v>414.29</v>
      </c>
      <c r="S461" s="78">
        <v>7.5</v>
      </c>
      <c r="T461" s="65" t="s">
        <v>397</v>
      </c>
      <c r="U461" s="63" t="s">
        <v>141</v>
      </c>
    </row>
    <row r="462" spans="1:21" ht="89.25">
      <c r="A462" s="77">
        <v>5</v>
      </c>
      <c r="B462" s="79" t="s">
        <v>415</v>
      </c>
      <c r="C462" s="77" t="s">
        <v>19</v>
      </c>
      <c r="D462" s="64" t="s">
        <v>2155</v>
      </c>
      <c r="E462" s="60" t="s">
        <v>1941</v>
      </c>
      <c r="F462" s="60" t="s">
        <v>391</v>
      </c>
      <c r="G462" s="60" t="s">
        <v>1921</v>
      </c>
      <c r="H462" s="41" t="s">
        <v>1873</v>
      </c>
      <c r="I462" s="41" t="s">
        <v>2156</v>
      </c>
      <c r="J462" s="40">
        <v>3</v>
      </c>
      <c r="K462" s="40">
        <v>174.13</v>
      </c>
      <c r="L462" s="42" t="s">
        <v>671</v>
      </c>
      <c r="M462" s="42" t="s">
        <v>2157</v>
      </c>
      <c r="N462" s="63" t="s">
        <v>461</v>
      </c>
      <c r="O462" s="77"/>
      <c r="P462" s="77"/>
      <c r="Q462" s="78">
        <v>167.39</v>
      </c>
      <c r="R462" s="78">
        <v>158.32</v>
      </c>
      <c r="S462" s="78">
        <v>3</v>
      </c>
      <c r="T462" s="65" t="s">
        <v>397</v>
      </c>
      <c r="U462" s="63" t="s">
        <v>141</v>
      </c>
    </row>
    <row r="463" spans="1:21" ht="89.25">
      <c r="A463" s="77">
        <v>6</v>
      </c>
      <c r="B463" s="79" t="s">
        <v>415</v>
      </c>
      <c r="C463" s="77" t="s">
        <v>19</v>
      </c>
      <c r="D463" s="64" t="s">
        <v>2161</v>
      </c>
      <c r="E463" s="60" t="s">
        <v>1994</v>
      </c>
      <c r="F463" s="60" t="s">
        <v>391</v>
      </c>
      <c r="G463" s="60" t="s">
        <v>1921</v>
      </c>
      <c r="H463" s="41" t="s">
        <v>1873</v>
      </c>
      <c r="I463" s="41" t="s">
        <v>1017</v>
      </c>
      <c r="J463" s="40">
        <v>4.2</v>
      </c>
      <c r="K463" s="40">
        <v>241.66</v>
      </c>
      <c r="L463" s="42" t="s">
        <v>2159</v>
      </c>
      <c r="M463" s="42" t="s">
        <v>2162</v>
      </c>
      <c r="N463" s="63" t="s">
        <v>461</v>
      </c>
      <c r="O463" s="77"/>
      <c r="P463" s="77"/>
      <c r="Q463" s="78">
        <v>220</v>
      </c>
      <c r="R463" s="78">
        <v>228</v>
      </c>
      <c r="S463" s="78">
        <v>4.2</v>
      </c>
      <c r="T463" s="65" t="s">
        <v>397</v>
      </c>
      <c r="U463" s="63" t="s">
        <v>141</v>
      </c>
    </row>
    <row r="464" spans="1:21" ht="89.25">
      <c r="A464" s="77">
        <v>22</v>
      </c>
      <c r="B464" s="79" t="s">
        <v>415</v>
      </c>
      <c r="C464" s="77" t="s">
        <v>19</v>
      </c>
      <c r="D464" s="64" t="s">
        <v>2164</v>
      </c>
      <c r="E464" s="60" t="s">
        <v>2062</v>
      </c>
      <c r="F464" s="60" t="s">
        <v>135</v>
      </c>
      <c r="G464" s="60" t="s">
        <v>1872</v>
      </c>
      <c r="H464" s="41" t="s">
        <v>1864</v>
      </c>
      <c r="I464" s="41" t="s">
        <v>2165</v>
      </c>
      <c r="J464" s="40">
        <v>2.5</v>
      </c>
      <c r="K464" s="40">
        <v>122.99</v>
      </c>
      <c r="L464" s="42" t="s">
        <v>1091</v>
      </c>
      <c r="M464" s="42" t="s">
        <v>1092</v>
      </c>
      <c r="N464" s="63" t="s">
        <v>348</v>
      </c>
      <c r="O464" s="77"/>
      <c r="P464" s="77"/>
      <c r="Q464" s="78">
        <v>93.37</v>
      </c>
      <c r="R464" s="78">
        <v>79.24</v>
      </c>
      <c r="S464" s="78">
        <v>2.5</v>
      </c>
      <c r="T464" s="65" t="s">
        <v>397</v>
      </c>
      <c r="U464" s="63" t="s">
        <v>141</v>
      </c>
    </row>
    <row r="465" spans="1:21" ht="89.25">
      <c r="A465" s="77">
        <v>16</v>
      </c>
      <c r="B465" s="79" t="s">
        <v>415</v>
      </c>
      <c r="C465" s="77" t="s">
        <v>19</v>
      </c>
      <c r="D465" s="64" t="s">
        <v>2175</v>
      </c>
      <c r="E465" s="60" t="s">
        <v>2112</v>
      </c>
      <c r="F465" s="60" t="s">
        <v>391</v>
      </c>
      <c r="G465" s="60" t="s">
        <v>19</v>
      </c>
      <c r="H465" s="41" t="s">
        <v>1864</v>
      </c>
      <c r="I465" s="41" t="s">
        <v>2176</v>
      </c>
      <c r="J465" s="40">
        <v>5.45</v>
      </c>
      <c r="K465" s="40">
        <v>281.49</v>
      </c>
      <c r="L465" s="42" t="s">
        <v>1091</v>
      </c>
      <c r="M465" s="42" t="s">
        <v>1092</v>
      </c>
      <c r="N465" s="63" t="s">
        <v>268</v>
      </c>
      <c r="O465" s="77"/>
      <c r="P465" s="77"/>
      <c r="Q465" s="78">
        <v>248.45</v>
      </c>
      <c r="R465" s="78">
        <v>212.03</v>
      </c>
      <c r="S465" s="78">
        <v>5.45</v>
      </c>
      <c r="T465" s="65" t="s">
        <v>397</v>
      </c>
      <c r="U465" s="63" t="s">
        <v>141</v>
      </c>
    </row>
    <row r="466" spans="1:21" ht="85.5">
      <c r="A466" s="77">
        <v>1</v>
      </c>
      <c r="B466" s="79" t="s">
        <v>135</v>
      </c>
      <c r="C466" s="77" t="s">
        <v>20</v>
      </c>
      <c r="D466" s="36" t="s">
        <v>2237</v>
      </c>
      <c r="E466" s="77" t="s">
        <v>2238</v>
      </c>
      <c r="F466" s="79" t="s">
        <v>138</v>
      </c>
      <c r="G466" s="44" t="s">
        <v>20</v>
      </c>
      <c r="H466" s="47" t="s">
        <v>2239</v>
      </c>
      <c r="I466" s="90" t="s">
        <v>141</v>
      </c>
      <c r="J466" s="86">
        <v>7</v>
      </c>
      <c r="K466" s="86">
        <v>142.55</v>
      </c>
      <c r="L466" s="58"/>
      <c r="M466" s="58"/>
      <c r="N466" s="111"/>
      <c r="O466" s="86">
        <v>130.05</v>
      </c>
      <c r="P466" s="77"/>
      <c r="Q466" s="77"/>
      <c r="R466" s="86">
        <v>123.5</v>
      </c>
      <c r="S466" s="86">
        <v>7</v>
      </c>
      <c r="T466" s="85" t="s">
        <v>142</v>
      </c>
      <c r="U466" s="83" t="s">
        <v>143</v>
      </c>
    </row>
    <row r="467" spans="1:21" ht="85.5">
      <c r="A467" s="77">
        <v>2</v>
      </c>
      <c r="B467" s="79" t="s">
        <v>135</v>
      </c>
      <c r="C467" s="77" t="s">
        <v>20</v>
      </c>
      <c r="D467" s="36" t="s">
        <v>2240</v>
      </c>
      <c r="E467" s="77" t="s">
        <v>2241</v>
      </c>
      <c r="F467" s="79" t="s">
        <v>138</v>
      </c>
      <c r="G467" s="44" t="s">
        <v>20</v>
      </c>
      <c r="H467" s="47" t="s">
        <v>2239</v>
      </c>
      <c r="I467" s="90" t="s">
        <v>141</v>
      </c>
      <c r="J467" s="86">
        <v>6</v>
      </c>
      <c r="K467" s="86">
        <v>122.6</v>
      </c>
      <c r="L467" s="58"/>
      <c r="M467" s="58"/>
      <c r="N467" s="111"/>
      <c r="O467" s="86">
        <v>113.94</v>
      </c>
      <c r="P467" s="77"/>
      <c r="Q467" s="77"/>
      <c r="R467" s="86">
        <v>93.33</v>
      </c>
      <c r="S467" s="86">
        <v>6</v>
      </c>
      <c r="T467" s="85" t="s">
        <v>142</v>
      </c>
      <c r="U467" s="83" t="s">
        <v>143</v>
      </c>
    </row>
    <row r="468" spans="1:21" ht="99.75">
      <c r="A468" s="77">
        <v>1</v>
      </c>
      <c r="B468" s="79" t="s">
        <v>135</v>
      </c>
      <c r="C468" s="77" t="s">
        <v>20</v>
      </c>
      <c r="D468" s="36" t="s">
        <v>2242</v>
      </c>
      <c r="E468" s="77" t="s">
        <v>2243</v>
      </c>
      <c r="F468" s="79" t="s">
        <v>138</v>
      </c>
      <c r="G468" s="44" t="s">
        <v>2244</v>
      </c>
      <c r="H468" s="47" t="s">
        <v>2239</v>
      </c>
      <c r="I468" s="90" t="s">
        <v>141</v>
      </c>
      <c r="J468" s="86">
        <v>5.83</v>
      </c>
      <c r="K468" s="86">
        <v>117.35</v>
      </c>
      <c r="L468" s="58"/>
      <c r="M468" s="58"/>
      <c r="N468" s="111"/>
      <c r="O468" s="86">
        <v>116.03</v>
      </c>
      <c r="P468" s="77"/>
      <c r="Q468" s="77"/>
      <c r="R468" s="86">
        <v>108.84</v>
      </c>
      <c r="S468" s="86">
        <v>5.83</v>
      </c>
      <c r="T468" s="85" t="s">
        <v>142</v>
      </c>
      <c r="U468" s="83" t="s">
        <v>143</v>
      </c>
    </row>
    <row r="469" spans="1:21" ht="99.75">
      <c r="A469" s="77">
        <v>1</v>
      </c>
      <c r="B469" s="79" t="s">
        <v>135</v>
      </c>
      <c r="C469" s="77" t="s">
        <v>20</v>
      </c>
      <c r="D469" s="36" t="s">
        <v>2245</v>
      </c>
      <c r="E469" s="77" t="s">
        <v>2246</v>
      </c>
      <c r="F469" s="79" t="s">
        <v>138</v>
      </c>
      <c r="G469" s="44" t="s">
        <v>2247</v>
      </c>
      <c r="H469" s="47" t="s">
        <v>2248</v>
      </c>
      <c r="I469" s="90" t="s">
        <v>141</v>
      </c>
      <c r="J469" s="86">
        <v>5.5</v>
      </c>
      <c r="K469" s="86">
        <v>143.71</v>
      </c>
      <c r="L469" s="58"/>
      <c r="M469" s="58"/>
      <c r="N469" s="111"/>
      <c r="O469" s="86">
        <v>108.9</v>
      </c>
      <c r="P469" s="77"/>
      <c r="Q469" s="77"/>
      <c r="R469" s="86">
        <v>109.96</v>
      </c>
      <c r="S469" s="86">
        <v>5.5</v>
      </c>
      <c r="T469" s="85" t="s">
        <v>142</v>
      </c>
      <c r="U469" s="83" t="s">
        <v>143</v>
      </c>
    </row>
    <row r="470" spans="1:21" ht="99.75">
      <c r="A470" s="77">
        <v>3</v>
      </c>
      <c r="B470" s="79" t="s">
        <v>157</v>
      </c>
      <c r="C470" s="77" t="s">
        <v>20</v>
      </c>
      <c r="D470" s="46" t="s">
        <v>2249</v>
      </c>
      <c r="E470" s="84" t="s">
        <v>2238</v>
      </c>
      <c r="F470" s="79" t="s">
        <v>159</v>
      </c>
      <c r="G470" s="47" t="s">
        <v>20</v>
      </c>
      <c r="H470" s="47" t="s">
        <v>2250</v>
      </c>
      <c r="I470" s="47"/>
      <c r="J470" s="78">
        <v>4.8</v>
      </c>
      <c r="K470" s="78">
        <v>105.93</v>
      </c>
      <c r="L470" s="48"/>
      <c r="M470" s="48"/>
      <c r="N470" s="87" t="s">
        <v>2251</v>
      </c>
      <c r="O470" s="78"/>
      <c r="P470" s="78"/>
      <c r="Q470" s="78"/>
      <c r="R470" s="78">
        <v>91.29</v>
      </c>
      <c r="S470" s="78">
        <v>4.8</v>
      </c>
      <c r="T470" s="49" t="s">
        <v>142</v>
      </c>
      <c r="U470" s="83" t="s">
        <v>143</v>
      </c>
    </row>
    <row r="471" spans="1:21" ht="85.5">
      <c r="A471" s="77">
        <v>2</v>
      </c>
      <c r="B471" s="79" t="s">
        <v>157</v>
      </c>
      <c r="C471" s="77" t="s">
        <v>20</v>
      </c>
      <c r="D471" s="46" t="s">
        <v>2252</v>
      </c>
      <c r="E471" s="84" t="s">
        <v>2243</v>
      </c>
      <c r="F471" s="79" t="s">
        <v>159</v>
      </c>
      <c r="G471" s="47" t="s">
        <v>2244</v>
      </c>
      <c r="H471" s="47" t="s">
        <v>2250</v>
      </c>
      <c r="I471" s="47"/>
      <c r="J471" s="78">
        <v>4</v>
      </c>
      <c r="K471" s="78">
        <v>121.1</v>
      </c>
      <c r="L471" s="48"/>
      <c r="M471" s="48"/>
      <c r="N471" s="87" t="s">
        <v>2253</v>
      </c>
      <c r="O471" s="78"/>
      <c r="P471" s="78"/>
      <c r="Q471" s="78"/>
      <c r="R471" s="78">
        <v>112.79</v>
      </c>
      <c r="S471" s="78">
        <v>4</v>
      </c>
      <c r="T471" s="49" t="s">
        <v>142</v>
      </c>
      <c r="U471" s="83" t="s">
        <v>143</v>
      </c>
    </row>
    <row r="472" spans="1:21" ht="128.25">
      <c r="A472" s="77">
        <v>3</v>
      </c>
      <c r="B472" s="79" t="s">
        <v>157</v>
      </c>
      <c r="C472" s="77" t="s">
        <v>20</v>
      </c>
      <c r="D472" s="46" t="s">
        <v>2254</v>
      </c>
      <c r="E472" s="84" t="s">
        <v>2246</v>
      </c>
      <c r="F472" s="79" t="s">
        <v>159</v>
      </c>
      <c r="G472" s="47" t="s">
        <v>2244</v>
      </c>
      <c r="H472" s="47" t="s">
        <v>2250</v>
      </c>
      <c r="I472" s="47"/>
      <c r="J472" s="78">
        <v>6</v>
      </c>
      <c r="K472" s="78">
        <v>178.9</v>
      </c>
      <c r="L472" s="48"/>
      <c r="M472" s="48"/>
      <c r="N472" s="87" t="s">
        <v>2255</v>
      </c>
      <c r="O472" s="78"/>
      <c r="P472" s="78"/>
      <c r="Q472" s="78"/>
      <c r="R472" s="78">
        <v>162.42</v>
      </c>
      <c r="S472" s="78">
        <v>6</v>
      </c>
      <c r="T472" s="49" t="s">
        <v>142</v>
      </c>
      <c r="U472" s="83" t="s">
        <v>143</v>
      </c>
    </row>
    <row r="473" spans="1:21" ht="71.25">
      <c r="A473" s="77">
        <v>4</v>
      </c>
      <c r="B473" s="79" t="s">
        <v>157</v>
      </c>
      <c r="C473" s="77" t="s">
        <v>20</v>
      </c>
      <c r="D473" s="46" t="s">
        <v>2256</v>
      </c>
      <c r="E473" s="204" t="s">
        <v>2257</v>
      </c>
      <c r="F473" s="79" t="s">
        <v>159</v>
      </c>
      <c r="G473" s="47" t="s">
        <v>2244</v>
      </c>
      <c r="H473" s="47" t="s">
        <v>2239</v>
      </c>
      <c r="I473" s="47"/>
      <c r="J473" s="78">
        <v>3</v>
      </c>
      <c r="K473" s="78">
        <v>90</v>
      </c>
      <c r="L473" s="48"/>
      <c r="M473" s="48"/>
      <c r="N473" s="87" t="s">
        <v>1884</v>
      </c>
      <c r="O473" s="78"/>
      <c r="P473" s="78"/>
      <c r="Q473" s="78"/>
      <c r="R473" s="78">
        <v>59.01</v>
      </c>
      <c r="S473" s="78">
        <v>3</v>
      </c>
      <c r="T473" s="49" t="s">
        <v>142</v>
      </c>
      <c r="U473" s="83" t="s">
        <v>143</v>
      </c>
    </row>
    <row r="474" spans="1:21" ht="71.25">
      <c r="A474" s="77">
        <v>5</v>
      </c>
      <c r="B474" s="79" t="s">
        <v>157</v>
      </c>
      <c r="C474" s="77" t="s">
        <v>20</v>
      </c>
      <c r="D474" s="46" t="s">
        <v>2258</v>
      </c>
      <c r="E474" s="204"/>
      <c r="F474" s="79" t="s">
        <v>159</v>
      </c>
      <c r="G474" s="47" t="s">
        <v>2244</v>
      </c>
      <c r="H474" s="47" t="s">
        <v>2239</v>
      </c>
      <c r="I474" s="47"/>
      <c r="J474" s="78">
        <v>3</v>
      </c>
      <c r="K474" s="78">
        <v>66</v>
      </c>
      <c r="L474" s="48"/>
      <c r="M474" s="48"/>
      <c r="N474" s="87" t="s">
        <v>1884</v>
      </c>
      <c r="O474" s="78"/>
      <c r="P474" s="78"/>
      <c r="Q474" s="78"/>
      <c r="R474" s="78">
        <v>75.51</v>
      </c>
      <c r="S474" s="78">
        <v>3</v>
      </c>
      <c r="T474" s="49" t="s">
        <v>142</v>
      </c>
      <c r="U474" s="83" t="s">
        <v>143</v>
      </c>
    </row>
    <row r="475" spans="1:21" ht="128.25">
      <c r="A475" s="77">
        <v>6</v>
      </c>
      <c r="B475" s="79" t="s">
        <v>185</v>
      </c>
      <c r="C475" s="77" t="s">
        <v>20</v>
      </c>
      <c r="D475" s="36" t="s">
        <v>2259</v>
      </c>
      <c r="E475" s="84" t="s">
        <v>2238</v>
      </c>
      <c r="F475" s="79" t="s">
        <v>135</v>
      </c>
      <c r="G475" s="79" t="s">
        <v>2244</v>
      </c>
      <c r="H475" s="79" t="s">
        <v>2250</v>
      </c>
      <c r="I475" s="183" t="s">
        <v>540</v>
      </c>
      <c r="J475" s="51">
        <v>11.9</v>
      </c>
      <c r="K475" s="51">
        <v>120.07</v>
      </c>
      <c r="L475" s="206" t="s">
        <v>2260</v>
      </c>
      <c r="M475" s="199" t="s">
        <v>2261</v>
      </c>
      <c r="N475" s="90" t="s">
        <v>224</v>
      </c>
      <c r="O475" s="86">
        <v>134.8</v>
      </c>
      <c r="P475" s="86">
        <v>44.69</v>
      </c>
      <c r="Q475" s="86">
        <f>SUM(O475:P475)</f>
        <v>179.49</v>
      </c>
      <c r="R475" s="86">
        <v>197.79</v>
      </c>
      <c r="S475" s="51">
        <v>11.9</v>
      </c>
      <c r="T475" s="83" t="s">
        <v>142</v>
      </c>
      <c r="U475" s="83" t="s">
        <v>143</v>
      </c>
    </row>
    <row r="476" spans="1:21" ht="156.75">
      <c r="A476" s="77">
        <v>7</v>
      </c>
      <c r="B476" s="79" t="s">
        <v>185</v>
      </c>
      <c r="C476" s="77" t="s">
        <v>20</v>
      </c>
      <c r="D476" s="36" t="s">
        <v>2262</v>
      </c>
      <c r="E476" s="84" t="s">
        <v>2263</v>
      </c>
      <c r="F476" s="79" t="s">
        <v>135</v>
      </c>
      <c r="G476" s="79" t="s">
        <v>2244</v>
      </c>
      <c r="H476" s="79" t="s">
        <v>2250</v>
      </c>
      <c r="I476" s="183"/>
      <c r="J476" s="86">
        <v>10.57</v>
      </c>
      <c r="K476" s="51">
        <v>131.7</v>
      </c>
      <c r="L476" s="206"/>
      <c r="M476" s="199"/>
      <c r="N476" s="90" t="s">
        <v>2264</v>
      </c>
      <c r="O476" s="86">
        <v>147.64</v>
      </c>
      <c r="P476" s="86">
        <v>13.02</v>
      </c>
      <c r="Q476" s="86">
        <f>SUM(O476:P476)</f>
        <v>160.66</v>
      </c>
      <c r="R476" s="86">
        <v>140.68</v>
      </c>
      <c r="S476" s="86">
        <v>10.57</v>
      </c>
      <c r="T476" s="83" t="s">
        <v>142</v>
      </c>
      <c r="U476" s="83" t="s">
        <v>143</v>
      </c>
    </row>
    <row r="477" spans="1:21" ht="114">
      <c r="A477" s="77">
        <v>4</v>
      </c>
      <c r="B477" s="79" t="s">
        <v>185</v>
      </c>
      <c r="C477" s="77" t="s">
        <v>20</v>
      </c>
      <c r="D477" s="36" t="s">
        <v>2265</v>
      </c>
      <c r="E477" s="84" t="s">
        <v>2266</v>
      </c>
      <c r="F477" s="79" t="s">
        <v>135</v>
      </c>
      <c r="G477" s="79" t="s">
        <v>20</v>
      </c>
      <c r="H477" s="79" t="s">
        <v>2239</v>
      </c>
      <c r="I477" s="79" t="s">
        <v>540</v>
      </c>
      <c r="J477" s="86">
        <v>16.1</v>
      </c>
      <c r="K477" s="51">
        <v>164.8</v>
      </c>
      <c r="L477" s="89" t="s">
        <v>2260</v>
      </c>
      <c r="M477" s="90" t="s">
        <v>2261</v>
      </c>
      <c r="N477" s="90" t="s">
        <v>2264</v>
      </c>
      <c r="O477" s="86">
        <v>167.61</v>
      </c>
      <c r="P477" s="86">
        <v>96.34</v>
      </c>
      <c r="Q477" s="86">
        <f>SUM(O477:P477)</f>
        <v>263.95000000000005</v>
      </c>
      <c r="R477" s="86">
        <v>274.19</v>
      </c>
      <c r="S477" s="86">
        <v>16.1</v>
      </c>
      <c r="T477" s="83" t="s">
        <v>142</v>
      </c>
      <c r="U477" s="83" t="s">
        <v>143</v>
      </c>
    </row>
    <row r="478" spans="1:21" ht="213.75">
      <c r="A478" s="77">
        <v>5</v>
      </c>
      <c r="B478" s="79" t="s">
        <v>185</v>
      </c>
      <c r="C478" s="77" t="s">
        <v>20</v>
      </c>
      <c r="D478" s="36" t="s">
        <v>2273</v>
      </c>
      <c r="E478" s="84" t="s">
        <v>2274</v>
      </c>
      <c r="F478" s="79" t="s">
        <v>175</v>
      </c>
      <c r="G478" s="79" t="s">
        <v>20</v>
      </c>
      <c r="H478" s="79" t="s">
        <v>2239</v>
      </c>
      <c r="I478" s="79" t="s">
        <v>198</v>
      </c>
      <c r="J478" s="86" t="s">
        <v>141</v>
      </c>
      <c r="K478" s="86">
        <v>195.38</v>
      </c>
      <c r="L478" s="90" t="s">
        <v>2275</v>
      </c>
      <c r="M478" s="90" t="s">
        <v>2276</v>
      </c>
      <c r="N478" s="90" t="s">
        <v>523</v>
      </c>
      <c r="O478" s="86">
        <v>254.05</v>
      </c>
      <c r="P478" s="86"/>
      <c r="Q478" s="86">
        <f>SUM(O478:P478)</f>
        <v>254.05</v>
      </c>
      <c r="R478" s="86">
        <v>258.31</v>
      </c>
      <c r="S478" s="86" t="s">
        <v>141</v>
      </c>
      <c r="T478" s="83" t="s">
        <v>142</v>
      </c>
      <c r="U478" s="83" t="s">
        <v>143</v>
      </c>
    </row>
    <row r="479" spans="1:21" ht="195">
      <c r="A479" s="77">
        <v>8</v>
      </c>
      <c r="B479" s="79" t="s">
        <v>202</v>
      </c>
      <c r="C479" s="77" t="s">
        <v>20</v>
      </c>
      <c r="D479" s="37" t="s">
        <v>2277</v>
      </c>
      <c r="E479" s="84" t="s">
        <v>2238</v>
      </c>
      <c r="F479" s="79" t="s">
        <v>135</v>
      </c>
      <c r="G479" s="79" t="s">
        <v>2244</v>
      </c>
      <c r="H479" s="79" t="s">
        <v>2250</v>
      </c>
      <c r="I479" s="79" t="s">
        <v>1256</v>
      </c>
      <c r="J479" s="80">
        <v>5.95</v>
      </c>
      <c r="K479" s="80">
        <v>107.15</v>
      </c>
      <c r="L479" s="80" t="s">
        <v>1179</v>
      </c>
      <c r="M479" s="80" t="s">
        <v>1180</v>
      </c>
      <c r="N479" s="80" t="s">
        <v>216</v>
      </c>
      <c r="O479" s="80">
        <v>113.04</v>
      </c>
      <c r="P479" s="80">
        <v>61.45</v>
      </c>
      <c r="Q479" s="80">
        <f>SUM(O479:P479)</f>
        <v>174.49</v>
      </c>
      <c r="R479" s="84">
        <f>0.94+103.53</f>
        <v>104.47</v>
      </c>
      <c r="S479" s="80">
        <v>5.95</v>
      </c>
      <c r="T479" s="83" t="s">
        <v>142</v>
      </c>
      <c r="U479" s="85" t="s">
        <v>143</v>
      </c>
    </row>
    <row r="480" spans="1:21" ht="150">
      <c r="A480" s="77">
        <v>2</v>
      </c>
      <c r="B480" s="79" t="s">
        <v>202</v>
      </c>
      <c r="C480" s="77" t="s">
        <v>20</v>
      </c>
      <c r="D480" s="37" t="s">
        <v>2278</v>
      </c>
      <c r="E480" s="84" t="s">
        <v>2241</v>
      </c>
      <c r="F480" s="79" t="s">
        <v>135</v>
      </c>
      <c r="G480" s="79" t="s">
        <v>2247</v>
      </c>
      <c r="H480" s="52" t="s">
        <v>2247</v>
      </c>
      <c r="I480" s="79" t="s">
        <v>192</v>
      </c>
      <c r="J480" s="80">
        <v>16.05</v>
      </c>
      <c r="K480" s="80">
        <v>241.74</v>
      </c>
      <c r="L480" s="80" t="s">
        <v>2279</v>
      </c>
      <c r="M480" s="80" t="s">
        <v>2280</v>
      </c>
      <c r="N480" s="80" t="s">
        <v>230</v>
      </c>
      <c r="O480" s="80">
        <v>240.22</v>
      </c>
      <c r="P480" s="80">
        <v>23.48</v>
      </c>
      <c r="Q480" s="80">
        <f>SUM(O480:P480)</f>
        <v>263.7</v>
      </c>
      <c r="R480" s="84">
        <f>30.42+348.72</f>
        <v>379.14000000000004</v>
      </c>
      <c r="S480" s="80">
        <v>16.05</v>
      </c>
      <c r="T480" s="83" t="s">
        <v>142</v>
      </c>
      <c r="U480" s="85" t="s">
        <v>143</v>
      </c>
    </row>
    <row r="481" spans="1:21" ht="90">
      <c r="A481" s="77">
        <v>3</v>
      </c>
      <c r="B481" s="79" t="s">
        <v>202</v>
      </c>
      <c r="C481" s="77" t="s">
        <v>20</v>
      </c>
      <c r="D481" s="37" t="s">
        <v>2281</v>
      </c>
      <c r="E481" s="84" t="s">
        <v>2243</v>
      </c>
      <c r="F481" s="79" t="s">
        <v>135</v>
      </c>
      <c r="G481" s="79" t="s">
        <v>2247</v>
      </c>
      <c r="H481" s="52" t="s">
        <v>2247</v>
      </c>
      <c r="I481" s="183" t="s">
        <v>831</v>
      </c>
      <c r="J481" s="80">
        <v>10</v>
      </c>
      <c r="K481" s="80">
        <v>159.93</v>
      </c>
      <c r="L481" s="187" t="s">
        <v>2282</v>
      </c>
      <c r="M481" s="187" t="s">
        <v>2283</v>
      </c>
      <c r="N481" s="80" t="s">
        <v>308</v>
      </c>
      <c r="O481" s="80">
        <v>154.41</v>
      </c>
      <c r="P481" s="80"/>
      <c r="Q481" s="80">
        <f>SUM(O481:P481)</f>
        <v>154.41</v>
      </c>
      <c r="R481" s="80">
        <f>91.51+169.06</f>
        <v>260.57</v>
      </c>
      <c r="S481" s="80">
        <v>10</v>
      </c>
      <c r="T481" s="85" t="s">
        <v>142</v>
      </c>
      <c r="U481" s="85" t="s">
        <v>1686</v>
      </c>
    </row>
    <row r="482" spans="1:21" ht="135">
      <c r="A482" s="77">
        <v>4</v>
      </c>
      <c r="B482" s="79" t="s">
        <v>202</v>
      </c>
      <c r="C482" s="77" t="s">
        <v>20</v>
      </c>
      <c r="D482" s="37" t="s">
        <v>2284</v>
      </c>
      <c r="E482" s="84" t="s">
        <v>2246</v>
      </c>
      <c r="F482" s="79" t="s">
        <v>175</v>
      </c>
      <c r="G482" s="79" t="s">
        <v>2247</v>
      </c>
      <c r="H482" s="52" t="s">
        <v>2247</v>
      </c>
      <c r="I482" s="183"/>
      <c r="J482" s="80" t="s">
        <v>141</v>
      </c>
      <c r="K482" s="80">
        <v>110.29</v>
      </c>
      <c r="L482" s="187"/>
      <c r="M482" s="187"/>
      <c r="N482" s="80" t="s">
        <v>2002</v>
      </c>
      <c r="O482" s="80">
        <v>106.48</v>
      </c>
      <c r="P482" s="80"/>
      <c r="Q482" s="80">
        <f>SUM(O482:P482)</f>
        <v>106.48</v>
      </c>
      <c r="R482" s="80">
        <v>0</v>
      </c>
      <c r="S482" s="80" t="s">
        <v>141</v>
      </c>
      <c r="T482" s="85" t="s">
        <v>142</v>
      </c>
      <c r="U482" s="85" t="s">
        <v>1686</v>
      </c>
    </row>
    <row r="483" spans="1:21" ht="85.5">
      <c r="A483" s="77">
        <v>9</v>
      </c>
      <c r="B483" s="79" t="s">
        <v>221</v>
      </c>
      <c r="C483" s="77" t="s">
        <v>20</v>
      </c>
      <c r="D483" s="36" t="s">
        <v>2285</v>
      </c>
      <c r="E483" s="51" t="s">
        <v>2238</v>
      </c>
      <c r="F483" s="79" t="s">
        <v>135</v>
      </c>
      <c r="G483" s="52" t="s">
        <v>2244</v>
      </c>
      <c r="H483" s="52" t="s">
        <v>2250</v>
      </c>
      <c r="I483" s="79" t="s">
        <v>1256</v>
      </c>
      <c r="J483" s="80">
        <v>5.25</v>
      </c>
      <c r="K483" s="80">
        <v>109.28</v>
      </c>
      <c r="L483" s="80" t="s">
        <v>2286</v>
      </c>
      <c r="M483" s="80" t="s">
        <v>2287</v>
      </c>
      <c r="N483" s="80" t="s">
        <v>200</v>
      </c>
      <c r="O483" s="80">
        <v>104.97</v>
      </c>
      <c r="P483" s="80"/>
      <c r="Q483" s="80">
        <f aca="true" t="shared" si="25" ref="Q483:Q489">SUM(O483:P483)</f>
        <v>104.97</v>
      </c>
      <c r="R483" s="80">
        <v>104.5</v>
      </c>
      <c r="S483" s="80">
        <v>5.25</v>
      </c>
      <c r="T483" s="83" t="s">
        <v>142</v>
      </c>
      <c r="U483" s="85" t="s">
        <v>143</v>
      </c>
    </row>
    <row r="484" spans="1:21" ht="85.5">
      <c r="A484" s="77">
        <v>10</v>
      </c>
      <c r="B484" s="79" t="s">
        <v>221</v>
      </c>
      <c r="C484" s="77" t="s">
        <v>20</v>
      </c>
      <c r="D484" s="36" t="s">
        <v>2288</v>
      </c>
      <c r="E484" s="51" t="s">
        <v>2241</v>
      </c>
      <c r="F484" s="79" t="s">
        <v>135</v>
      </c>
      <c r="G484" s="52" t="s">
        <v>2244</v>
      </c>
      <c r="H484" s="52" t="s">
        <v>2248</v>
      </c>
      <c r="I484" s="79" t="s">
        <v>305</v>
      </c>
      <c r="J484" s="80">
        <v>4</v>
      </c>
      <c r="K484" s="80">
        <v>77.09</v>
      </c>
      <c r="L484" s="80" t="s">
        <v>2289</v>
      </c>
      <c r="M484" s="80" t="s">
        <v>825</v>
      </c>
      <c r="N484" s="80" t="s">
        <v>1356</v>
      </c>
      <c r="O484" s="80">
        <v>87.29</v>
      </c>
      <c r="P484" s="80"/>
      <c r="Q484" s="80">
        <f t="shared" si="25"/>
        <v>87.29</v>
      </c>
      <c r="R484" s="80">
        <f>74.96+0.04</f>
        <v>75</v>
      </c>
      <c r="S484" s="80">
        <v>4</v>
      </c>
      <c r="T484" s="83" t="s">
        <v>142</v>
      </c>
      <c r="U484" s="85" t="s">
        <v>143</v>
      </c>
    </row>
    <row r="485" spans="1:21" ht="85.5">
      <c r="A485" s="77">
        <v>11</v>
      </c>
      <c r="B485" s="79" t="s">
        <v>221</v>
      </c>
      <c r="C485" s="77" t="s">
        <v>20</v>
      </c>
      <c r="D485" s="36" t="s">
        <v>2290</v>
      </c>
      <c r="E485" s="51" t="s">
        <v>2243</v>
      </c>
      <c r="F485" s="79" t="s">
        <v>135</v>
      </c>
      <c r="G485" s="52" t="s">
        <v>2244</v>
      </c>
      <c r="H485" s="52" t="s">
        <v>2250</v>
      </c>
      <c r="I485" s="183" t="s">
        <v>227</v>
      </c>
      <c r="J485" s="80">
        <v>8</v>
      </c>
      <c r="K485" s="80">
        <v>185.33</v>
      </c>
      <c r="L485" s="80" t="s">
        <v>2291</v>
      </c>
      <c r="M485" s="80" t="s">
        <v>200</v>
      </c>
      <c r="N485" s="80" t="s">
        <v>200</v>
      </c>
      <c r="O485" s="80">
        <v>181.16</v>
      </c>
      <c r="P485" s="80"/>
      <c r="Q485" s="80">
        <f t="shared" si="25"/>
        <v>181.16</v>
      </c>
      <c r="R485" s="80">
        <f>0.62+276.31</f>
        <v>276.93</v>
      </c>
      <c r="S485" s="80">
        <v>8</v>
      </c>
      <c r="T485" s="83" t="s">
        <v>142</v>
      </c>
      <c r="U485" s="85" t="s">
        <v>143</v>
      </c>
    </row>
    <row r="486" spans="1:21" ht="99.75">
      <c r="A486" s="77">
        <v>12</v>
      </c>
      <c r="B486" s="79" t="s">
        <v>221</v>
      </c>
      <c r="C486" s="77" t="s">
        <v>20</v>
      </c>
      <c r="D486" s="36" t="s">
        <v>2292</v>
      </c>
      <c r="E486" s="51" t="s">
        <v>2293</v>
      </c>
      <c r="F486" s="79" t="s">
        <v>135</v>
      </c>
      <c r="G486" s="52" t="s">
        <v>2244</v>
      </c>
      <c r="H486" s="52" t="s">
        <v>2250</v>
      </c>
      <c r="I486" s="183"/>
      <c r="J486" s="80">
        <v>3.5</v>
      </c>
      <c r="K486" s="80">
        <v>98.32</v>
      </c>
      <c r="L486" s="80" t="s">
        <v>2291</v>
      </c>
      <c r="M486" s="80" t="s">
        <v>200</v>
      </c>
      <c r="N486" s="80" t="s">
        <v>200</v>
      </c>
      <c r="O486" s="80">
        <v>96.1</v>
      </c>
      <c r="P486" s="80"/>
      <c r="Q486" s="80">
        <f t="shared" si="25"/>
        <v>96.1</v>
      </c>
      <c r="R486" s="80">
        <v>0</v>
      </c>
      <c r="S486" s="80">
        <v>3.5</v>
      </c>
      <c r="T486" s="83" t="s">
        <v>142</v>
      </c>
      <c r="U486" s="85" t="s">
        <v>143</v>
      </c>
    </row>
    <row r="487" spans="1:21" ht="114">
      <c r="A487" s="77">
        <v>6</v>
      </c>
      <c r="B487" s="79" t="s">
        <v>221</v>
      </c>
      <c r="C487" s="77" t="s">
        <v>20</v>
      </c>
      <c r="D487" s="36" t="s">
        <v>2296</v>
      </c>
      <c r="E487" s="51" t="s">
        <v>2257</v>
      </c>
      <c r="F487" s="79" t="s">
        <v>135</v>
      </c>
      <c r="G487" s="52" t="s">
        <v>20</v>
      </c>
      <c r="H487" s="52" t="s">
        <v>2250</v>
      </c>
      <c r="I487" s="79" t="s">
        <v>1193</v>
      </c>
      <c r="J487" s="80">
        <v>5</v>
      </c>
      <c r="K487" s="80">
        <v>129.63</v>
      </c>
      <c r="L487" s="80" t="s">
        <v>1227</v>
      </c>
      <c r="M487" s="80" t="s">
        <v>2297</v>
      </c>
      <c r="N487" s="80" t="s">
        <v>523</v>
      </c>
      <c r="O487" s="80">
        <v>128.54</v>
      </c>
      <c r="P487" s="80"/>
      <c r="Q487" s="80">
        <f t="shared" si="25"/>
        <v>128.54</v>
      </c>
      <c r="R487" s="80">
        <v>128.52</v>
      </c>
      <c r="S487" s="80">
        <v>5</v>
      </c>
      <c r="T487" s="83" t="s">
        <v>142</v>
      </c>
      <c r="U487" s="85" t="s">
        <v>261</v>
      </c>
    </row>
    <row r="488" spans="1:21" ht="85.5">
      <c r="A488" s="77">
        <v>5</v>
      </c>
      <c r="B488" s="79" t="s">
        <v>221</v>
      </c>
      <c r="C488" s="77" t="s">
        <v>20</v>
      </c>
      <c r="D488" s="36" t="s">
        <v>2298</v>
      </c>
      <c r="E488" s="51" t="s">
        <v>2299</v>
      </c>
      <c r="F488" s="79" t="s">
        <v>135</v>
      </c>
      <c r="G488" s="52" t="s">
        <v>2247</v>
      </c>
      <c r="H488" s="52" t="s">
        <v>2247</v>
      </c>
      <c r="I488" s="79" t="s">
        <v>2300</v>
      </c>
      <c r="J488" s="80">
        <v>8</v>
      </c>
      <c r="K488" s="80">
        <v>205.95</v>
      </c>
      <c r="L488" s="80" t="s">
        <v>2301</v>
      </c>
      <c r="M488" s="80" t="s">
        <v>1727</v>
      </c>
      <c r="N488" s="80" t="s">
        <v>230</v>
      </c>
      <c r="O488" s="80">
        <v>203.86</v>
      </c>
      <c r="P488" s="80">
        <v>80.4</v>
      </c>
      <c r="Q488" s="80">
        <f t="shared" si="25"/>
        <v>284.26</v>
      </c>
      <c r="R488" s="80">
        <f>269.62+44.73</f>
        <v>314.35</v>
      </c>
      <c r="S488" s="80">
        <v>8</v>
      </c>
      <c r="T488" s="83" t="s">
        <v>142</v>
      </c>
      <c r="U488" s="85" t="s">
        <v>143</v>
      </c>
    </row>
    <row r="489" spans="1:21" ht="99.75">
      <c r="A489" s="77">
        <v>7</v>
      </c>
      <c r="B489" s="79" t="s">
        <v>221</v>
      </c>
      <c r="C489" s="77" t="s">
        <v>20</v>
      </c>
      <c r="D489" s="36" t="s">
        <v>2302</v>
      </c>
      <c r="E489" s="51" t="s">
        <v>2303</v>
      </c>
      <c r="F489" s="79" t="s">
        <v>135</v>
      </c>
      <c r="G489" s="52" t="s">
        <v>20</v>
      </c>
      <c r="H489" s="52" t="s">
        <v>2250</v>
      </c>
      <c r="I489" s="79" t="s">
        <v>2304</v>
      </c>
      <c r="J489" s="80">
        <v>5</v>
      </c>
      <c r="K489" s="80">
        <v>170.83</v>
      </c>
      <c r="L489" s="80" t="s">
        <v>2305</v>
      </c>
      <c r="M489" s="80" t="s">
        <v>2021</v>
      </c>
      <c r="N489" s="115" t="s">
        <v>2203</v>
      </c>
      <c r="O489" s="80">
        <v>79.24</v>
      </c>
      <c r="P489" s="80"/>
      <c r="Q489" s="80">
        <f t="shared" si="25"/>
        <v>79.24</v>
      </c>
      <c r="R489" s="80">
        <v>58.25</v>
      </c>
      <c r="S489" s="80">
        <v>4.35</v>
      </c>
      <c r="T489" s="83" t="s">
        <v>142</v>
      </c>
      <c r="U489" s="85" t="s">
        <v>143</v>
      </c>
    </row>
    <row r="490" spans="1:21" ht="142.5">
      <c r="A490" s="77">
        <v>1</v>
      </c>
      <c r="B490" s="79" t="s">
        <v>244</v>
      </c>
      <c r="C490" s="77" t="s">
        <v>20</v>
      </c>
      <c r="D490" s="36" t="s">
        <v>2306</v>
      </c>
      <c r="E490" s="51" t="s">
        <v>2238</v>
      </c>
      <c r="F490" s="79" t="s">
        <v>135</v>
      </c>
      <c r="G490" s="53" t="s">
        <v>2248</v>
      </c>
      <c r="H490" s="53" t="s">
        <v>2239</v>
      </c>
      <c r="I490" s="191" t="s">
        <v>2307</v>
      </c>
      <c r="J490" s="80">
        <v>0.82</v>
      </c>
      <c r="K490" s="80">
        <v>28.98</v>
      </c>
      <c r="L490" s="80" t="s">
        <v>1179</v>
      </c>
      <c r="M490" s="80" t="s">
        <v>526</v>
      </c>
      <c r="N490" s="80" t="s">
        <v>2308</v>
      </c>
      <c r="O490" s="80">
        <v>47.15</v>
      </c>
      <c r="P490" s="80"/>
      <c r="Q490" s="80">
        <f aca="true" t="shared" si="26" ref="Q490:Q502">SUM(O490:P490)</f>
        <v>47.15</v>
      </c>
      <c r="R490" s="80">
        <v>0</v>
      </c>
      <c r="S490" s="80">
        <v>0.82</v>
      </c>
      <c r="T490" s="85" t="s">
        <v>142</v>
      </c>
      <c r="U490" s="83" t="s">
        <v>261</v>
      </c>
    </row>
    <row r="491" spans="1:21" ht="142.5">
      <c r="A491" s="77">
        <v>2</v>
      </c>
      <c r="B491" s="79" t="s">
        <v>244</v>
      </c>
      <c r="C491" s="77" t="s">
        <v>20</v>
      </c>
      <c r="D491" s="36" t="s">
        <v>2309</v>
      </c>
      <c r="E491" s="51" t="s">
        <v>2241</v>
      </c>
      <c r="F491" s="79" t="s">
        <v>135</v>
      </c>
      <c r="G491" s="53" t="s">
        <v>2248</v>
      </c>
      <c r="H491" s="53" t="s">
        <v>2239</v>
      </c>
      <c r="I491" s="191"/>
      <c r="J491" s="80">
        <v>4</v>
      </c>
      <c r="K491" s="80">
        <v>167.06</v>
      </c>
      <c r="L491" s="80" t="s">
        <v>1179</v>
      </c>
      <c r="M491" s="80" t="s">
        <v>1181</v>
      </c>
      <c r="N491" s="80" t="s">
        <v>2310</v>
      </c>
      <c r="O491" s="80">
        <v>271.8</v>
      </c>
      <c r="P491" s="80">
        <v>70</v>
      </c>
      <c r="Q491" s="80">
        <f t="shared" si="26"/>
        <v>341.8</v>
      </c>
      <c r="R491" s="80">
        <v>395.85</v>
      </c>
      <c r="S491" s="80">
        <v>4</v>
      </c>
      <c r="T491" s="85" t="s">
        <v>142</v>
      </c>
      <c r="U491" s="83" t="s">
        <v>261</v>
      </c>
    </row>
    <row r="492" spans="1:21" ht="142.5">
      <c r="A492" s="77">
        <v>8</v>
      </c>
      <c r="B492" s="79" t="s">
        <v>244</v>
      </c>
      <c r="C492" s="77" t="s">
        <v>20</v>
      </c>
      <c r="D492" s="36" t="s">
        <v>2311</v>
      </c>
      <c r="E492" s="51" t="s">
        <v>2243</v>
      </c>
      <c r="F492" s="79" t="s">
        <v>135</v>
      </c>
      <c r="G492" s="53" t="s">
        <v>20</v>
      </c>
      <c r="H492" s="52" t="s">
        <v>2250</v>
      </c>
      <c r="I492" s="81" t="s">
        <v>2312</v>
      </c>
      <c r="J492" s="80">
        <v>9.25</v>
      </c>
      <c r="K492" s="80">
        <v>297.79</v>
      </c>
      <c r="L492" s="80" t="s">
        <v>2313</v>
      </c>
      <c r="M492" s="80" t="s">
        <v>2314</v>
      </c>
      <c r="N492" s="80" t="s">
        <v>299</v>
      </c>
      <c r="O492" s="80">
        <v>296.54</v>
      </c>
      <c r="P492" s="80">
        <f>34.63+24.37</f>
        <v>59</v>
      </c>
      <c r="Q492" s="80">
        <f t="shared" si="26"/>
        <v>355.54</v>
      </c>
      <c r="R492" s="80">
        <v>355.52</v>
      </c>
      <c r="S492" s="80">
        <v>9.25</v>
      </c>
      <c r="T492" s="85" t="s">
        <v>142</v>
      </c>
      <c r="U492" s="83" t="s">
        <v>143</v>
      </c>
    </row>
    <row r="493" spans="1:21" ht="57">
      <c r="A493" s="77">
        <v>9</v>
      </c>
      <c r="B493" s="79" t="s">
        <v>244</v>
      </c>
      <c r="C493" s="77" t="s">
        <v>20</v>
      </c>
      <c r="D493" s="36" t="s">
        <v>2315</v>
      </c>
      <c r="E493" s="51" t="s">
        <v>2246</v>
      </c>
      <c r="F493" s="79" t="s">
        <v>135</v>
      </c>
      <c r="G493" s="53" t="s">
        <v>20</v>
      </c>
      <c r="H493" s="53" t="s">
        <v>2239</v>
      </c>
      <c r="I493" s="81" t="s">
        <v>2316</v>
      </c>
      <c r="J493" s="80">
        <v>6</v>
      </c>
      <c r="K493" s="80">
        <v>137.85</v>
      </c>
      <c r="L493" s="80" t="s">
        <v>1179</v>
      </c>
      <c r="M493" s="80" t="s">
        <v>2317</v>
      </c>
      <c r="N493" s="80" t="s">
        <v>2318</v>
      </c>
      <c r="O493" s="80">
        <v>181.85</v>
      </c>
      <c r="P493" s="80"/>
      <c r="Q493" s="80">
        <f t="shared" si="26"/>
        <v>181.85</v>
      </c>
      <c r="R493" s="80">
        <v>176.25</v>
      </c>
      <c r="S493" s="80">
        <v>6</v>
      </c>
      <c r="T493" s="85" t="s">
        <v>142</v>
      </c>
      <c r="U493" s="83" t="s">
        <v>143</v>
      </c>
    </row>
    <row r="494" spans="1:21" ht="57">
      <c r="A494" s="77">
        <v>10</v>
      </c>
      <c r="B494" s="79" t="s">
        <v>244</v>
      </c>
      <c r="C494" s="77" t="s">
        <v>20</v>
      </c>
      <c r="D494" s="36" t="s">
        <v>2319</v>
      </c>
      <c r="E494" s="51" t="s">
        <v>2257</v>
      </c>
      <c r="F494" s="79" t="s">
        <v>135</v>
      </c>
      <c r="G494" s="53" t="s">
        <v>20</v>
      </c>
      <c r="H494" s="52" t="s">
        <v>2250</v>
      </c>
      <c r="I494" s="81" t="s">
        <v>2320</v>
      </c>
      <c r="J494" s="80">
        <v>2</v>
      </c>
      <c r="K494" s="80">
        <v>29.9</v>
      </c>
      <c r="L494" s="80" t="s">
        <v>2321</v>
      </c>
      <c r="M494" s="80" t="s">
        <v>1181</v>
      </c>
      <c r="N494" s="80" t="s">
        <v>1774</v>
      </c>
      <c r="O494" s="80">
        <v>40.85</v>
      </c>
      <c r="P494" s="80"/>
      <c r="Q494" s="80">
        <f t="shared" si="26"/>
        <v>40.85</v>
      </c>
      <c r="R494" s="80">
        <v>38.6</v>
      </c>
      <c r="S494" s="80">
        <v>1.5</v>
      </c>
      <c r="T494" s="85" t="s">
        <v>142</v>
      </c>
      <c r="U494" s="83" t="s">
        <v>143</v>
      </c>
    </row>
    <row r="495" spans="1:21" ht="105">
      <c r="A495" s="77">
        <v>6</v>
      </c>
      <c r="B495" s="79" t="s">
        <v>279</v>
      </c>
      <c r="C495" s="77" t="s">
        <v>20</v>
      </c>
      <c r="D495" s="37" t="s">
        <v>2328</v>
      </c>
      <c r="E495" s="51" t="s">
        <v>2246</v>
      </c>
      <c r="F495" s="79" t="s">
        <v>135</v>
      </c>
      <c r="G495" s="79" t="s">
        <v>2247</v>
      </c>
      <c r="H495" s="79" t="s">
        <v>2247</v>
      </c>
      <c r="I495" s="79" t="s">
        <v>2329</v>
      </c>
      <c r="J495" s="116">
        <v>9</v>
      </c>
      <c r="K495" s="80">
        <v>474.87</v>
      </c>
      <c r="L495" s="79" t="s">
        <v>2330</v>
      </c>
      <c r="M495" s="79" t="s">
        <v>2331</v>
      </c>
      <c r="N495" s="79" t="s">
        <v>2036</v>
      </c>
      <c r="O495" s="80">
        <v>483.31</v>
      </c>
      <c r="P495" s="80"/>
      <c r="Q495" s="80">
        <f t="shared" si="26"/>
        <v>483.31</v>
      </c>
      <c r="R495" s="80">
        <f>236+223.19</f>
        <v>459.19</v>
      </c>
      <c r="S495" s="80">
        <v>9</v>
      </c>
      <c r="T495" s="83" t="s">
        <v>142</v>
      </c>
      <c r="U495" s="83" t="s">
        <v>143</v>
      </c>
    </row>
    <row r="496" spans="1:21" ht="135">
      <c r="A496" s="77">
        <v>3</v>
      </c>
      <c r="B496" s="79" t="s">
        <v>279</v>
      </c>
      <c r="C496" s="77" t="s">
        <v>20</v>
      </c>
      <c r="D496" s="37" t="s">
        <v>2332</v>
      </c>
      <c r="E496" s="51" t="s">
        <v>2299</v>
      </c>
      <c r="F496" s="79" t="s">
        <v>135</v>
      </c>
      <c r="G496" s="79" t="s">
        <v>2248</v>
      </c>
      <c r="H496" s="79" t="s">
        <v>2248</v>
      </c>
      <c r="I496" s="79" t="s">
        <v>2333</v>
      </c>
      <c r="J496" s="116">
        <v>9</v>
      </c>
      <c r="K496" s="80">
        <v>339.5</v>
      </c>
      <c r="L496" s="79" t="s">
        <v>1245</v>
      </c>
      <c r="M496" s="79" t="s">
        <v>180</v>
      </c>
      <c r="N496" s="79" t="s">
        <v>308</v>
      </c>
      <c r="O496" s="80">
        <v>279.48</v>
      </c>
      <c r="P496" s="80"/>
      <c r="Q496" s="80">
        <f t="shared" si="26"/>
        <v>279.48</v>
      </c>
      <c r="R496" s="80">
        <f>149.88+111.5</f>
        <v>261.38</v>
      </c>
      <c r="S496" s="80">
        <v>9</v>
      </c>
      <c r="T496" s="83" t="s">
        <v>142</v>
      </c>
      <c r="U496" s="83" t="s">
        <v>143</v>
      </c>
    </row>
    <row r="497" spans="1:21" ht="60">
      <c r="A497" s="77">
        <v>11</v>
      </c>
      <c r="B497" s="79" t="s">
        <v>279</v>
      </c>
      <c r="C497" s="77" t="s">
        <v>20</v>
      </c>
      <c r="D497" s="37" t="s">
        <v>2337</v>
      </c>
      <c r="E497" s="51" t="s">
        <v>2293</v>
      </c>
      <c r="F497" s="79" t="s">
        <v>135</v>
      </c>
      <c r="G497" s="79" t="s">
        <v>20</v>
      </c>
      <c r="H497" s="79" t="s">
        <v>2250</v>
      </c>
      <c r="I497" s="79" t="s">
        <v>1244</v>
      </c>
      <c r="J497" s="116">
        <v>4</v>
      </c>
      <c r="K497" s="80">
        <v>134.23</v>
      </c>
      <c r="L497" s="79" t="s">
        <v>1903</v>
      </c>
      <c r="M497" s="79" t="s">
        <v>953</v>
      </c>
      <c r="N497" s="79" t="s">
        <v>616</v>
      </c>
      <c r="O497" s="80">
        <v>142.17</v>
      </c>
      <c r="P497" s="80"/>
      <c r="Q497" s="80">
        <f t="shared" si="26"/>
        <v>142.17</v>
      </c>
      <c r="R497" s="80">
        <v>131.76</v>
      </c>
      <c r="S497" s="80">
        <v>4</v>
      </c>
      <c r="T497" s="83" t="s">
        <v>142</v>
      </c>
      <c r="U497" s="83" t="s">
        <v>143</v>
      </c>
    </row>
    <row r="498" spans="1:21" ht="90">
      <c r="A498" s="77">
        <v>4</v>
      </c>
      <c r="B498" s="79" t="s">
        <v>279</v>
      </c>
      <c r="C498" s="77" t="s">
        <v>20</v>
      </c>
      <c r="D498" s="37" t="s">
        <v>2341</v>
      </c>
      <c r="E498" s="51" t="s">
        <v>2342</v>
      </c>
      <c r="F498" s="79" t="s">
        <v>135</v>
      </c>
      <c r="G498" s="79" t="s">
        <v>2248</v>
      </c>
      <c r="H498" s="79" t="s">
        <v>2248</v>
      </c>
      <c r="I498" s="79" t="s">
        <v>532</v>
      </c>
      <c r="J498" s="116">
        <v>13.78</v>
      </c>
      <c r="K498" s="80">
        <v>513.47</v>
      </c>
      <c r="L498" s="79" t="s">
        <v>1290</v>
      </c>
      <c r="M498" s="79" t="s">
        <v>2327</v>
      </c>
      <c r="N498" s="79" t="s">
        <v>676</v>
      </c>
      <c r="O498" s="80">
        <v>565.78</v>
      </c>
      <c r="P498" s="80"/>
      <c r="Q498" s="80">
        <f t="shared" si="26"/>
        <v>565.78</v>
      </c>
      <c r="R498" s="80">
        <v>542.68</v>
      </c>
      <c r="S498" s="80">
        <v>13.65</v>
      </c>
      <c r="T498" s="92" t="s">
        <v>142</v>
      </c>
      <c r="U498" s="83" t="s">
        <v>143</v>
      </c>
    </row>
    <row r="499" spans="1:21" ht="75">
      <c r="A499" s="77">
        <v>5</v>
      </c>
      <c r="B499" s="79" t="s">
        <v>279</v>
      </c>
      <c r="C499" s="77" t="s">
        <v>20</v>
      </c>
      <c r="D499" s="37" t="s">
        <v>2343</v>
      </c>
      <c r="E499" s="51" t="s">
        <v>2344</v>
      </c>
      <c r="F499" s="79" t="s">
        <v>135</v>
      </c>
      <c r="G499" s="79" t="s">
        <v>2248</v>
      </c>
      <c r="H499" s="79" t="s">
        <v>2239</v>
      </c>
      <c r="I499" s="84" t="s">
        <v>2345</v>
      </c>
      <c r="J499" s="80">
        <v>9.28</v>
      </c>
      <c r="K499" s="80">
        <v>380.82</v>
      </c>
      <c r="L499" s="79" t="s">
        <v>2269</v>
      </c>
      <c r="M499" s="79" t="s">
        <v>2346</v>
      </c>
      <c r="N499" s="79" t="s">
        <v>2347</v>
      </c>
      <c r="O499" s="80">
        <v>238.93</v>
      </c>
      <c r="P499" s="80"/>
      <c r="Q499" s="80">
        <f t="shared" si="26"/>
        <v>238.93</v>
      </c>
      <c r="R499" s="80">
        <v>238.93</v>
      </c>
      <c r="S499" s="80">
        <v>9.28</v>
      </c>
      <c r="T499" s="83" t="s">
        <v>142</v>
      </c>
      <c r="U499" s="83" t="s">
        <v>143</v>
      </c>
    </row>
    <row r="500" spans="1:21" ht="90">
      <c r="A500" s="77">
        <v>6</v>
      </c>
      <c r="B500" s="79" t="s">
        <v>279</v>
      </c>
      <c r="C500" s="77" t="s">
        <v>20</v>
      </c>
      <c r="D500" s="37" t="s">
        <v>2350</v>
      </c>
      <c r="E500" s="51" t="s">
        <v>2351</v>
      </c>
      <c r="F500" s="79" t="s">
        <v>135</v>
      </c>
      <c r="G500" s="79" t="s">
        <v>2248</v>
      </c>
      <c r="H500" s="79" t="s">
        <v>2239</v>
      </c>
      <c r="I500" s="84" t="s">
        <v>2352</v>
      </c>
      <c r="J500" s="116">
        <v>9</v>
      </c>
      <c r="K500" s="80">
        <v>385.86</v>
      </c>
      <c r="L500" s="79" t="s">
        <v>2269</v>
      </c>
      <c r="M500" s="79" t="s">
        <v>2346</v>
      </c>
      <c r="N500" s="79" t="s">
        <v>736</v>
      </c>
      <c r="O500" s="80">
        <v>227.24</v>
      </c>
      <c r="P500" s="80"/>
      <c r="Q500" s="80">
        <f t="shared" si="26"/>
        <v>227.24</v>
      </c>
      <c r="R500" s="80">
        <v>213.9</v>
      </c>
      <c r="S500" s="80">
        <v>9</v>
      </c>
      <c r="T500" s="83" t="s">
        <v>142</v>
      </c>
      <c r="U500" s="83" t="s">
        <v>143</v>
      </c>
    </row>
    <row r="501" spans="1:21" ht="105">
      <c r="A501" s="77">
        <v>12</v>
      </c>
      <c r="B501" s="79" t="s">
        <v>279</v>
      </c>
      <c r="C501" s="77" t="s">
        <v>20</v>
      </c>
      <c r="D501" s="37" t="s">
        <v>2353</v>
      </c>
      <c r="E501" s="51" t="s">
        <v>2354</v>
      </c>
      <c r="F501" s="79" t="s">
        <v>135</v>
      </c>
      <c r="G501" s="79" t="s">
        <v>20</v>
      </c>
      <c r="H501" s="79" t="s">
        <v>2250</v>
      </c>
      <c r="I501" s="84" t="s">
        <v>2355</v>
      </c>
      <c r="J501" s="116">
        <v>13</v>
      </c>
      <c r="K501" s="80">
        <v>511.19</v>
      </c>
      <c r="L501" s="79" t="s">
        <v>2269</v>
      </c>
      <c r="M501" s="79" t="s">
        <v>2346</v>
      </c>
      <c r="N501" s="79" t="s">
        <v>2203</v>
      </c>
      <c r="O501" s="80">
        <v>324.67</v>
      </c>
      <c r="P501" s="80"/>
      <c r="Q501" s="80">
        <f t="shared" si="26"/>
        <v>324.67</v>
      </c>
      <c r="R501" s="80">
        <v>298.08</v>
      </c>
      <c r="S501" s="80">
        <v>13</v>
      </c>
      <c r="T501" s="83" t="s">
        <v>142</v>
      </c>
      <c r="U501" s="83" t="s">
        <v>143</v>
      </c>
    </row>
    <row r="502" spans="1:21" ht="105">
      <c r="A502" s="77">
        <v>13</v>
      </c>
      <c r="B502" s="79" t="s">
        <v>279</v>
      </c>
      <c r="C502" s="77" t="s">
        <v>20</v>
      </c>
      <c r="D502" s="37" t="s">
        <v>2360</v>
      </c>
      <c r="E502" s="51" t="s">
        <v>2361</v>
      </c>
      <c r="F502" s="79" t="s">
        <v>135</v>
      </c>
      <c r="G502" s="79" t="s">
        <v>2244</v>
      </c>
      <c r="H502" s="79" t="s">
        <v>2248</v>
      </c>
      <c r="I502" s="79" t="s">
        <v>2362</v>
      </c>
      <c r="J502" s="116">
        <v>3.48</v>
      </c>
      <c r="K502" s="80">
        <v>136.46</v>
      </c>
      <c r="L502" s="79" t="s">
        <v>2363</v>
      </c>
      <c r="M502" s="79" t="s">
        <v>1047</v>
      </c>
      <c r="N502" s="79" t="s">
        <v>2364</v>
      </c>
      <c r="O502" s="80">
        <v>78.21</v>
      </c>
      <c r="P502" s="80"/>
      <c r="Q502" s="80">
        <f t="shared" si="26"/>
        <v>78.21</v>
      </c>
      <c r="R502" s="80">
        <v>109.18</v>
      </c>
      <c r="S502" s="80">
        <v>3.48</v>
      </c>
      <c r="T502" s="83" t="s">
        <v>142</v>
      </c>
      <c r="U502" s="83" t="s">
        <v>143</v>
      </c>
    </row>
    <row r="503" spans="1:21" ht="127.5">
      <c r="A503" s="77">
        <v>7</v>
      </c>
      <c r="B503" s="79" t="s">
        <v>395</v>
      </c>
      <c r="C503" s="77" t="s">
        <v>20</v>
      </c>
      <c r="D503" s="130" t="s">
        <v>2371</v>
      </c>
      <c r="E503" s="200" t="s">
        <v>2238</v>
      </c>
      <c r="F503" s="60" t="s">
        <v>175</v>
      </c>
      <c r="G503" s="60" t="s">
        <v>2248</v>
      </c>
      <c r="H503" s="40" t="s">
        <v>2239</v>
      </c>
      <c r="I503" s="201" t="s">
        <v>2372</v>
      </c>
      <c r="J503" s="135" t="s">
        <v>141</v>
      </c>
      <c r="K503" s="135">
        <v>118.95</v>
      </c>
      <c r="L503" s="202" t="s">
        <v>278</v>
      </c>
      <c r="M503" s="202" t="s">
        <v>685</v>
      </c>
      <c r="N503" s="40" t="s">
        <v>666</v>
      </c>
      <c r="O503" s="77"/>
      <c r="P503" s="77"/>
      <c r="Q503" s="201">
        <v>192.84</v>
      </c>
      <c r="R503" s="202">
        <f>160.27+30.82</f>
        <v>191.09</v>
      </c>
      <c r="S503" s="40" t="s">
        <v>141</v>
      </c>
      <c r="T503" s="62" t="s">
        <v>397</v>
      </c>
      <c r="U503" s="77"/>
    </row>
    <row r="504" spans="1:21" ht="127.5">
      <c r="A504" s="77">
        <v>8</v>
      </c>
      <c r="B504" s="79" t="s">
        <v>395</v>
      </c>
      <c r="C504" s="77" t="s">
        <v>20</v>
      </c>
      <c r="D504" s="130" t="s">
        <v>2373</v>
      </c>
      <c r="E504" s="200"/>
      <c r="F504" s="60" t="s">
        <v>175</v>
      </c>
      <c r="G504" s="60" t="s">
        <v>2248</v>
      </c>
      <c r="H504" s="40" t="s">
        <v>2239</v>
      </c>
      <c r="I504" s="201"/>
      <c r="J504" s="135" t="s">
        <v>141</v>
      </c>
      <c r="K504" s="135">
        <v>85.14</v>
      </c>
      <c r="L504" s="203"/>
      <c r="M504" s="203"/>
      <c r="N504" s="40" t="s">
        <v>666</v>
      </c>
      <c r="O504" s="77"/>
      <c r="P504" s="77"/>
      <c r="Q504" s="201"/>
      <c r="R504" s="203"/>
      <c r="S504" s="40" t="s">
        <v>141</v>
      </c>
      <c r="T504" s="62" t="s">
        <v>397</v>
      </c>
      <c r="U504" s="77"/>
    </row>
    <row r="505" spans="1:21" ht="76.5">
      <c r="A505" s="77">
        <v>14</v>
      </c>
      <c r="B505" s="79" t="s">
        <v>395</v>
      </c>
      <c r="C505" s="77" t="s">
        <v>20</v>
      </c>
      <c r="D505" s="130" t="s">
        <v>2376</v>
      </c>
      <c r="E505" s="60" t="s">
        <v>2243</v>
      </c>
      <c r="F505" s="60" t="s">
        <v>159</v>
      </c>
      <c r="G505" s="60" t="s">
        <v>2244</v>
      </c>
      <c r="H505" s="40" t="s">
        <v>2250</v>
      </c>
      <c r="I505" s="40" t="s">
        <v>2375</v>
      </c>
      <c r="J505" s="40">
        <v>5.25</v>
      </c>
      <c r="K505" s="40">
        <v>237.99</v>
      </c>
      <c r="L505" s="40" t="s">
        <v>651</v>
      </c>
      <c r="M505" s="40" t="s">
        <v>652</v>
      </c>
      <c r="N505" s="40" t="s">
        <v>348</v>
      </c>
      <c r="O505" s="77"/>
      <c r="P505" s="77"/>
      <c r="Q505" s="40">
        <v>254.63</v>
      </c>
      <c r="R505" s="40">
        <v>229.92</v>
      </c>
      <c r="S505" s="40">
        <v>5.25</v>
      </c>
      <c r="T505" s="62" t="s">
        <v>397</v>
      </c>
      <c r="U505" s="77"/>
    </row>
    <row r="506" spans="1:21" ht="102">
      <c r="A506" s="77">
        <v>15</v>
      </c>
      <c r="B506" s="79" t="s">
        <v>395</v>
      </c>
      <c r="C506" s="77" t="s">
        <v>20</v>
      </c>
      <c r="D506" s="130" t="s">
        <v>2383</v>
      </c>
      <c r="E506" s="60" t="s">
        <v>2299</v>
      </c>
      <c r="F506" s="60" t="s">
        <v>159</v>
      </c>
      <c r="G506" s="60" t="s">
        <v>2244</v>
      </c>
      <c r="H506" s="40" t="s">
        <v>2250</v>
      </c>
      <c r="I506" s="40" t="s">
        <v>338</v>
      </c>
      <c r="J506" s="40">
        <v>3.5</v>
      </c>
      <c r="K506" s="40">
        <v>157.5</v>
      </c>
      <c r="L506" s="40" t="s">
        <v>278</v>
      </c>
      <c r="M506" s="40" t="s">
        <v>685</v>
      </c>
      <c r="N506" s="40" t="s">
        <v>268</v>
      </c>
      <c r="O506" s="77"/>
      <c r="P506" s="77"/>
      <c r="Q506" s="40">
        <v>173.75</v>
      </c>
      <c r="R506" s="40">
        <v>139.22</v>
      </c>
      <c r="S506" s="40">
        <v>3.5</v>
      </c>
      <c r="T506" s="62" t="s">
        <v>397</v>
      </c>
      <c r="U506" s="77"/>
    </row>
    <row r="507" spans="1:21" ht="89.25">
      <c r="A507" s="77">
        <v>16</v>
      </c>
      <c r="B507" s="79" t="s">
        <v>395</v>
      </c>
      <c r="C507" s="77" t="s">
        <v>20</v>
      </c>
      <c r="D507" s="136" t="s">
        <v>2388</v>
      </c>
      <c r="E507" s="60" t="s">
        <v>2339</v>
      </c>
      <c r="F507" s="60" t="s">
        <v>159</v>
      </c>
      <c r="G507" s="60" t="s">
        <v>2244</v>
      </c>
      <c r="H507" s="40" t="s">
        <v>2248</v>
      </c>
      <c r="I507" s="40" t="s">
        <v>2389</v>
      </c>
      <c r="J507" s="135">
        <v>4</v>
      </c>
      <c r="K507" s="135">
        <v>154.97</v>
      </c>
      <c r="L507" s="40" t="s">
        <v>278</v>
      </c>
      <c r="M507" s="40" t="s">
        <v>685</v>
      </c>
      <c r="N507" s="40" t="s">
        <v>405</v>
      </c>
      <c r="O507" s="77"/>
      <c r="P507" s="77"/>
      <c r="Q507" s="40">
        <v>147.11</v>
      </c>
      <c r="R507" s="40">
        <f>103.33+30.19</f>
        <v>133.52</v>
      </c>
      <c r="S507" s="40">
        <v>4</v>
      </c>
      <c r="T507" s="62" t="s">
        <v>397</v>
      </c>
      <c r="U507" s="77"/>
    </row>
    <row r="508" spans="1:21" ht="76.5">
      <c r="A508" s="77">
        <v>9</v>
      </c>
      <c r="B508" s="79" t="s">
        <v>395</v>
      </c>
      <c r="C508" s="77" t="s">
        <v>20</v>
      </c>
      <c r="D508" s="136" t="s">
        <v>2396</v>
      </c>
      <c r="E508" s="60" t="s">
        <v>2397</v>
      </c>
      <c r="F508" s="60" t="s">
        <v>159</v>
      </c>
      <c r="G508" s="60" t="s">
        <v>2248</v>
      </c>
      <c r="H508" s="40" t="s">
        <v>2248</v>
      </c>
      <c r="I508" s="40" t="s">
        <v>2398</v>
      </c>
      <c r="J508" s="40">
        <v>9</v>
      </c>
      <c r="K508" s="40">
        <v>391.52</v>
      </c>
      <c r="L508" s="40" t="s">
        <v>1466</v>
      </c>
      <c r="M508" s="40" t="s">
        <v>681</v>
      </c>
      <c r="N508" s="40" t="s">
        <v>405</v>
      </c>
      <c r="O508" s="77"/>
      <c r="P508" s="77"/>
      <c r="Q508" s="40">
        <v>333.06</v>
      </c>
      <c r="R508" s="40">
        <v>332.36</v>
      </c>
      <c r="S508" s="40">
        <v>9</v>
      </c>
      <c r="T508" s="62" t="s">
        <v>397</v>
      </c>
      <c r="U508" s="77"/>
    </row>
    <row r="509" spans="1:21" ht="63.75">
      <c r="A509" s="77">
        <v>13</v>
      </c>
      <c r="B509" s="79" t="s">
        <v>395</v>
      </c>
      <c r="C509" s="77" t="s">
        <v>20</v>
      </c>
      <c r="D509" s="130" t="s">
        <v>2403</v>
      </c>
      <c r="E509" s="60" t="s">
        <v>2404</v>
      </c>
      <c r="F509" s="60" t="s">
        <v>159</v>
      </c>
      <c r="G509" s="60" t="s">
        <v>20</v>
      </c>
      <c r="H509" s="40" t="s">
        <v>2250</v>
      </c>
      <c r="I509" s="40" t="s">
        <v>2378</v>
      </c>
      <c r="J509" s="40">
        <v>4</v>
      </c>
      <c r="K509" s="40">
        <v>155.78</v>
      </c>
      <c r="L509" s="61" t="s">
        <v>2395</v>
      </c>
      <c r="M509" s="40" t="s">
        <v>2405</v>
      </c>
      <c r="N509" s="40" t="s">
        <v>643</v>
      </c>
      <c r="O509" s="77"/>
      <c r="P509" s="77"/>
      <c r="Q509" s="40">
        <v>155.37</v>
      </c>
      <c r="R509" s="40">
        <v>101.83</v>
      </c>
      <c r="S509" s="40">
        <v>4</v>
      </c>
      <c r="T509" s="62" t="s">
        <v>397</v>
      </c>
      <c r="U509" s="77"/>
    </row>
    <row r="510" spans="1:21" ht="76.5">
      <c r="A510" s="77">
        <v>10</v>
      </c>
      <c r="B510" s="79" t="s">
        <v>395</v>
      </c>
      <c r="C510" s="77" t="s">
        <v>20</v>
      </c>
      <c r="D510" s="136" t="s">
        <v>2409</v>
      </c>
      <c r="E510" s="60" t="s">
        <v>2410</v>
      </c>
      <c r="F510" s="60" t="s">
        <v>159</v>
      </c>
      <c r="G510" s="60" t="s">
        <v>2248</v>
      </c>
      <c r="H510" s="40" t="s">
        <v>2239</v>
      </c>
      <c r="I510" s="40" t="s">
        <v>2378</v>
      </c>
      <c r="J510" s="40">
        <v>6</v>
      </c>
      <c r="K510" s="40">
        <v>262.09</v>
      </c>
      <c r="L510" s="40" t="s">
        <v>1475</v>
      </c>
      <c r="M510" s="40" t="s">
        <v>2411</v>
      </c>
      <c r="N510" s="40" t="s">
        <v>643</v>
      </c>
      <c r="O510" s="77"/>
      <c r="P510" s="77"/>
      <c r="Q510" s="40">
        <v>226.2</v>
      </c>
      <c r="R510" s="40">
        <v>191.63</v>
      </c>
      <c r="S510" s="40">
        <v>6</v>
      </c>
      <c r="T510" s="62" t="s">
        <v>397</v>
      </c>
      <c r="U510" s="77"/>
    </row>
    <row r="511" spans="1:21" ht="57">
      <c r="A511" s="77">
        <v>1</v>
      </c>
      <c r="B511" s="79" t="s">
        <v>135</v>
      </c>
      <c r="C511" s="77" t="s">
        <v>2436</v>
      </c>
      <c r="D511" s="36" t="s">
        <v>2437</v>
      </c>
      <c r="E511" s="77" t="s">
        <v>2438</v>
      </c>
      <c r="F511" s="79" t="s">
        <v>138</v>
      </c>
      <c r="G511" s="44" t="s">
        <v>21</v>
      </c>
      <c r="H511" s="80" t="s">
        <v>2436</v>
      </c>
      <c r="I511" s="90" t="s">
        <v>141</v>
      </c>
      <c r="J511" s="86">
        <v>8.5</v>
      </c>
      <c r="K511" s="86">
        <v>197.85</v>
      </c>
      <c r="L511" s="58" t="s">
        <v>2439</v>
      </c>
      <c r="M511" s="58" t="s">
        <v>2440</v>
      </c>
      <c r="N511" s="111" t="s">
        <v>1875</v>
      </c>
      <c r="O511" s="86">
        <v>178.66</v>
      </c>
      <c r="P511" s="86">
        <v>4.87</v>
      </c>
      <c r="Q511" s="86">
        <f>SUM(O511:P511)</f>
        <v>183.53</v>
      </c>
      <c r="R511" s="86">
        <f>183.53+30.95</f>
        <v>214.48</v>
      </c>
      <c r="S511" s="86">
        <v>8.5</v>
      </c>
      <c r="T511" s="85" t="s">
        <v>142</v>
      </c>
      <c r="U511" s="83" t="s">
        <v>143</v>
      </c>
    </row>
    <row r="512" spans="1:21" ht="71.25">
      <c r="A512" s="77">
        <v>2</v>
      </c>
      <c r="B512" s="79" t="s">
        <v>135</v>
      </c>
      <c r="C512" s="77" t="s">
        <v>2436</v>
      </c>
      <c r="D512" s="36" t="s">
        <v>2441</v>
      </c>
      <c r="E512" s="77" t="s">
        <v>2442</v>
      </c>
      <c r="F512" s="79" t="s">
        <v>138</v>
      </c>
      <c r="G512" s="44" t="s">
        <v>21</v>
      </c>
      <c r="H512" s="80" t="s">
        <v>2443</v>
      </c>
      <c r="I512" s="90" t="s">
        <v>141</v>
      </c>
      <c r="J512" s="86">
        <v>6.5</v>
      </c>
      <c r="K512" s="86">
        <v>155.17</v>
      </c>
      <c r="L512" s="58" t="s">
        <v>2439</v>
      </c>
      <c r="M512" s="58" t="s">
        <v>2440</v>
      </c>
      <c r="N512" s="111" t="s">
        <v>2444</v>
      </c>
      <c r="O512" s="86">
        <v>141.3</v>
      </c>
      <c r="P512" s="86">
        <v>3.16</v>
      </c>
      <c r="Q512" s="86">
        <f>SUM(O512:P512)</f>
        <v>144.46</v>
      </c>
      <c r="R512" s="86">
        <v>144.46</v>
      </c>
      <c r="S512" s="86">
        <v>6.5</v>
      </c>
      <c r="T512" s="85" t="s">
        <v>142</v>
      </c>
      <c r="U512" s="83" t="s">
        <v>143</v>
      </c>
    </row>
    <row r="513" spans="1:21" ht="57">
      <c r="A513" s="77">
        <v>1</v>
      </c>
      <c r="B513" s="79" t="s">
        <v>157</v>
      </c>
      <c r="C513" s="77" t="s">
        <v>2436</v>
      </c>
      <c r="D513" s="46" t="s">
        <v>2445</v>
      </c>
      <c r="E513" s="84" t="s">
        <v>2442</v>
      </c>
      <c r="F513" s="79" t="s">
        <v>159</v>
      </c>
      <c r="G513" s="47" t="s">
        <v>2446</v>
      </c>
      <c r="H513" s="47" t="s">
        <v>2436</v>
      </c>
      <c r="I513" s="47" t="s">
        <v>2447</v>
      </c>
      <c r="J513" s="78">
        <v>6</v>
      </c>
      <c r="K513" s="78">
        <v>166.08</v>
      </c>
      <c r="L513" s="48"/>
      <c r="M513" s="48"/>
      <c r="N513" s="87" t="s">
        <v>2255</v>
      </c>
      <c r="O513" s="78"/>
      <c r="P513" s="78"/>
      <c r="Q513" s="78"/>
      <c r="R513" s="78">
        <v>189.9</v>
      </c>
      <c r="S513" s="78">
        <v>6</v>
      </c>
      <c r="T513" s="49" t="s">
        <v>142</v>
      </c>
      <c r="U513" s="83" t="s">
        <v>143</v>
      </c>
    </row>
    <row r="514" spans="1:21" ht="71.25">
      <c r="A514" s="77">
        <v>2</v>
      </c>
      <c r="B514" s="79" t="s">
        <v>157</v>
      </c>
      <c r="C514" s="77" t="s">
        <v>2436</v>
      </c>
      <c r="D514" s="46" t="s">
        <v>2448</v>
      </c>
      <c r="E514" s="84" t="s">
        <v>2449</v>
      </c>
      <c r="F514" s="79" t="s">
        <v>159</v>
      </c>
      <c r="G514" s="47" t="s">
        <v>2446</v>
      </c>
      <c r="H514" s="47" t="s">
        <v>2436</v>
      </c>
      <c r="I514" s="47" t="s">
        <v>2450</v>
      </c>
      <c r="J514" s="78">
        <v>3.5</v>
      </c>
      <c r="K514" s="78">
        <v>186.08</v>
      </c>
      <c r="L514" s="48"/>
      <c r="M514" s="48"/>
      <c r="N514" s="87" t="s">
        <v>2451</v>
      </c>
      <c r="O514" s="78"/>
      <c r="P514" s="78"/>
      <c r="Q514" s="78"/>
      <c r="R514" s="78">
        <v>116.16</v>
      </c>
      <c r="S514" s="78">
        <v>3.5</v>
      </c>
      <c r="T514" s="49" t="s">
        <v>142</v>
      </c>
      <c r="U514" s="83" t="s">
        <v>143</v>
      </c>
    </row>
    <row r="515" spans="1:21" ht="71.25">
      <c r="A515" s="77">
        <v>3</v>
      </c>
      <c r="B515" s="79" t="s">
        <v>157</v>
      </c>
      <c r="C515" s="77" t="s">
        <v>2436</v>
      </c>
      <c r="D515" s="46" t="s">
        <v>2452</v>
      </c>
      <c r="E515" s="84" t="s">
        <v>2453</v>
      </c>
      <c r="F515" s="79" t="s">
        <v>159</v>
      </c>
      <c r="G515" s="47" t="s">
        <v>21</v>
      </c>
      <c r="H515" s="80" t="s">
        <v>2443</v>
      </c>
      <c r="I515" s="47" t="s">
        <v>2450</v>
      </c>
      <c r="J515" s="78">
        <v>4.5</v>
      </c>
      <c r="K515" s="78">
        <v>117.24</v>
      </c>
      <c r="L515" s="48"/>
      <c r="M515" s="48"/>
      <c r="N515" s="87" t="s">
        <v>161</v>
      </c>
      <c r="O515" s="78"/>
      <c r="P515" s="78"/>
      <c r="Q515" s="78"/>
      <c r="R515" s="78">
        <v>102.41</v>
      </c>
      <c r="S515" s="78">
        <v>4.5</v>
      </c>
      <c r="T515" s="49" t="s">
        <v>142</v>
      </c>
      <c r="U515" s="83" t="s">
        <v>143</v>
      </c>
    </row>
    <row r="516" spans="1:21" ht="71.25">
      <c r="A516" s="77">
        <v>3</v>
      </c>
      <c r="B516" s="79" t="s">
        <v>157</v>
      </c>
      <c r="C516" s="77" t="s">
        <v>2436</v>
      </c>
      <c r="D516" s="46" t="s">
        <v>2454</v>
      </c>
      <c r="E516" s="84" t="s">
        <v>2455</v>
      </c>
      <c r="F516" s="79" t="s">
        <v>159</v>
      </c>
      <c r="G516" s="47" t="s">
        <v>2446</v>
      </c>
      <c r="H516" s="47" t="s">
        <v>2436</v>
      </c>
      <c r="I516" s="47" t="s">
        <v>2447</v>
      </c>
      <c r="J516" s="78">
        <v>9</v>
      </c>
      <c r="K516" s="78">
        <v>182.29</v>
      </c>
      <c r="L516" s="48"/>
      <c r="M516" s="48"/>
      <c r="N516" s="87" t="s">
        <v>195</v>
      </c>
      <c r="O516" s="78"/>
      <c r="P516" s="78"/>
      <c r="Q516" s="78"/>
      <c r="R516" s="78">
        <v>246.21</v>
      </c>
      <c r="S516" s="78">
        <v>9</v>
      </c>
      <c r="T516" s="49" t="s">
        <v>142</v>
      </c>
      <c r="U516" s="83" t="s">
        <v>143</v>
      </c>
    </row>
    <row r="517" spans="1:21" ht="135">
      <c r="A517" s="77">
        <v>4</v>
      </c>
      <c r="B517" s="79" t="s">
        <v>176</v>
      </c>
      <c r="C517" s="77" t="s">
        <v>2436</v>
      </c>
      <c r="D517" s="37" t="s">
        <v>2456</v>
      </c>
      <c r="E517" s="84" t="s">
        <v>2438</v>
      </c>
      <c r="F517" s="79" t="s">
        <v>159</v>
      </c>
      <c r="G517" s="79" t="s">
        <v>21</v>
      </c>
      <c r="H517" s="79" t="s">
        <v>2436</v>
      </c>
      <c r="I517" s="79" t="s">
        <v>2457</v>
      </c>
      <c r="J517" s="51">
        <v>11</v>
      </c>
      <c r="K517" s="51">
        <v>446.45</v>
      </c>
      <c r="L517" s="80" t="s">
        <v>821</v>
      </c>
      <c r="M517" s="80" t="s">
        <v>822</v>
      </c>
      <c r="N517" s="125" t="s">
        <v>2458</v>
      </c>
      <c r="O517" s="51">
        <v>346.93</v>
      </c>
      <c r="P517" s="51">
        <v>12.29</v>
      </c>
      <c r="Q517" s="51">
        <f>SUM(O517:P517)</f>
        <v>359.22</v>
      </c>
      <c r="R517" s="51">
        <v>462.24</v>
      </c>
      <c r="S517" s="51">
        <v>11</v>
      </c>
      <c r="T517" s="83" t="s">
        <v>142</v>
      </c>
      <c r="U517" s="83" t="s">
        <v>143</v>
      </c>
    </row>
    <row r="518" spans="1:21" ht="85.5">
      <c r="A518" s="77">
        <v>5</v>
      </c>
      <c r="B518" s="79" t="s">
        <v>185</v>
      </c>
      <c r="C518" s="77" t="s">
        <v>2436</v>
      </c>
      <c r="D518" s="36" t="s">
        <v>2459</v>
      </c>
      <c r="E518" s="84" t="s">
        <v>2438</v>
      </c>
      <c r="F518" s="79" t="s">
        <v>135</v>
      </c>
      <c r="G518" s="79" t="s">
        <v>21</v>
      </c>
      <c r="H518" s="80" t="s">
        <v>2443</v>
      </c>
      <c r="I518" s="79" t="s">
        <v>864</v>
      </c>
      <c r="J518" s="51">
        <v>14.75</v>
      </c>
      <c r="K518" s="51">
        <v>228.5</v>
      </c>
      <c r="L518" s="90" t="s">
        <v>825</v>
      </c>
      <c r="M518" s="90" t="s">
        <v>826</v>
      </c>
      <c r="N518" s="90" t="s">
        <v>278</v>
      </c>
      <c r="O518" s="86">
        <v>487.12</v>
      </c>
      <c r="P518" s="86">
        <v>260.85</v>
      </c>
      <c r="Q518" s="86">
        <f>SUM(O518:P518)</f>
        <v>747.97</v>
      </c>
      <c r="R518" s="86">
        <v>674.11</v>
      </c>
      <c r="S518" s="86">
        <v>14.75</v>
      </c>
      <c r="T518" s="83" t="s">
        <v>142</v>
      </c>
      <c r="U518" s="83" t="s">
        <v>143</v>
      </c>
    </row>
    <row r="519" spans="1:21" ht="85.5">
      <c r="A519" s="77">
        <v>4</v>
      </c>
      <c r="B519" s="79" t="s">
        <v>185</v>
      </c>
      <c r="C519" s="77" t="s">
        <v>2436</v>
      </c>
      <c r="D519" s="36" t="s">
        <v>2460</v>
      </c>
      <c r="E519" s="84" t="s">
        <v>2442</v>
      </c>
      <c r="F519" s="79" t="s">
        <v>135</v>
      </c>
      <c r="G519" s="79" t="s">
        <v>2446</v>
      </c>
      <c r="H519" s="79" t="s">
        <v>2436</v>
      </c>
      <c r="I519" s="79" t="s">
        <v>1349</v>
      </c>
      <c r="J519" s="51">
        <v>8.43</v>
      </c>
      <c r="K519" s="51">
        <v>157.14</v>
      </c>
      <c r="L519" s="90" t="s">
        <v>825</v>
      </c>
      <c r="M519" s="90" t="s">
        <v>2461</v>
      </c>
      <c r="N519" s="90" t="s">
        <v>2009</v>
      </c>
      <c r="O519" s="86">
        <v>336.09</v>
      </c>
      <c r="P519" s="86">
        <v>166.53</v>
      </c>
      <c r="Q519" s="86">
        <f>SUM(O519:P519)</f>
        <v>502.62</v>
      </c>
      <c r="R519" s="86">
        <v>323.79</v>
      </c>
      <c r="S519" s="51">
        <v>8.43</v>
      </c>
      <c r="T519" s="83" t="s">
        <v>142</v>
      </c>
      <c r="U519" s="83" t="s">
        <v>143</v>
      </c>
    </row>
    <row r="520" spans="1:21" ht="114">
      <c r="A520" s="77">
        <v>5</v>
      </c>
      <c r="B520" s="79" t="s">
        <v>185</v>
      </c>
      <c r="C520" s="77" t="s">
        <v>2436</v>
      </c>
      <c r="D520" s="36" t="s">
        <v>2462</v>
      </c>
      <c r="E520" s="84" t="s">
        <v>2463</v>
      </c>
      <c r="F520" s="79" t="s">
        <v>175</v>
      </c>
      <c r="G520" s="79" t="s">
        <v>2446</v>
      </c>
      <c r="H520" s="79" t="s">
        <v>2436</v>
      </c>
      <c r="I520" s="79" t="s">
        <v>2464</v>
      </c>
      <c r="J520" s="86" t="s">
        <v>141</v>
      </c>
      <c r="K520" s="86">
        <v>90.27</v>
      </c>
      <c r="L520" s="90" t="s">
        <v>2465</v>
      </c>
      <c r="M520" s="90" t="s">
        <v>2466</v>
      </c>
      <c r="N520" s="90" t="s">
        <v>1191</v>
      </c>
      <c r="O520" s="86">
        <v>79.49</v>
      </c>
      <c r="P520" s="86">
        <v>32.48</v>
      </c>
      <c r="Q520" s="86">
        <f>SUM(O520:P520)</f>
        <v>111.97</v>
      </c>
      <c r="R520" s="86">
        <v>112.62</v>
      </c>
      <c r="S520" s="86" t="s">
        <v>141</v>
      </c>
      <c r="T520" s="83" t="s">
        <v>142</v>
      </c>
      <c r="U520" s="83" t="s">
        <v>261</v>
      </c>
    </row>
    <row r="521" spans="1:21" ht="165">
      <c r="A521" s="77">
        <v>6</v>
      </c>
      <c r="B521" s="79" t="s">
        <v>202</v>
      </c>
      <c r="C521" s="77" t="s">
        <v>2436</v>
      </c>
      <c r="D521" s="37" t="s">
        <v>2467</v>
      </c>
      <c r="E521" s="84" t="s">
        <v>2438</v>
      </c>
      <c r="F521" s="79" t="s">
        <v>135</v>
      </c>
      <c r="G521" s="79" t="s">
        <v>21</v>
      </c>
      <c r="H521" s="80" t="s">
        <v>2443</v>
      </c>
      <c r="I521" s="79" t="s">
        <v>2468</v>
      </c>
      <c r="J521" s="80">
        <v>8.8</v>
      </c>
      <c r="K521" s="80">
        <v>127.26</v>
      </c>
      <c r="L521" s="80" t="s">
        <v>858</v>
      </c>
      <c r="M521" s="80" t="s">
        <v>214</v>
      </c>
      <c r="N521" s="80" t="s">
        <v>1232</v>
      </c>
      <c r="O521" s="80">
        <v>124.96</v>
      </c>
      <c r="P521" s="80">
        <v>232.67</v>
      </c>
      <c r="Q521" s="80">
        <f>SUM(O521:P521)</f>
        <v>357.63</v>
      </c>
      <c r="R521" s="80">
        <v>359.78</v>
      </c>
      <c r="S521" s="80">
        <v>8.8</v>
      </c>
      <c r="T521" s="85" t="s">
        <v>142</v>
      </c>
      <c r="U521" s="85" t="s">
        <v>1686</v>
      </c>
    </row>
    <row r="522" spans="1:21" ht="99.75">
      <c r="A522" s="77">
        <v>6</v>
      </c>
      <c r="B522" s="79" t="s">
        <v>221</v>
      </c>
      <c r="C522" s="77" t="s">
        <v>2436</v>
      </c>
      <c r="D522" s="36" t="s">
        <v>2469</v>
      </c>
      <c r="E522" s="51" t="s">
        <v>2438</v>
      </c>
      <c r="F522" s="79" t="s">
        <v>135</v>
      </c>
      <c r="G522" s="52" t="s">
        <v>2446</v>
      </c>
      <c r="H522" s="79" t="s">
        <v>2436</v>
      </c>
      <c r="I522" s="79" t="s">
        <v>843</v>
      </c>
      <c r="J522" s="80">
        <v>2.85</v>
      </c>
      <c r="K522" s="80">
        <v>56.33</v>
      </c>
      <c r="L522" s="80" t="s">
        <v>871</v>
      </c>
      <c r="M522" s="80" t="s">
        <v>872</v>
      </c>
      <c r="N522" s="80" t="s">
        <v>523</v>
      </c>
      <c r="O522" s="80">
        <v>51.94</v>
      </c>
      <c r="P522" s="80"/>
      <c r="Q522" s="80">
        <f aca="true" t="shared" si="27" ref="Q522:Q530">SUM(O522:P522)</f>
        <v>51.94</v>
      </c>
      <c r="R522" s="80">
        <v>55.43</v>
      </c>
      <c r="S522" s="80">
        <v>2.85</v>
      </c>
      <c r="T522" s="83" t="s">
        <v>142</v>
      </c>
      <c r="U522" s="85" t="s">
        <v>143</v>
      </c>
    </row>
    <row r="523" spans="1:21" ht="71.25">
      <c r="A523" s="77">
        <v>7</v>
      </c>
      <c r="B523" s="79" t="s">
        <v>221</v>
      </c>
      <c r="C523" s="77" t="s">
        <v>2436</v>
      </c>
      <c r="D523" s="36" t="s">
        <v>2470</v>
      </c>
      <c r="E523" s="51" t="s">
        <v>2442</v>
      </c>
      <c r="F523" s="79" t="s">
        <v>135</v>
      </c>
      <c r="G523" s="52" t="s">
        <v>21</v>
      </c>
      <c r="H523" s="80" t="s">
        <v>2443</v>
      </c>
      <c r="I523" s="79" t="s">
        <v>2471</v>
      </c>
      <c r="J523" s="80">
        <v>10.5</v>
      </c>
      <c r="K523" s="80">
        <v>207.37</v>
      </c>
      <c r="L523" s="80" t="s">
        <v>2472</v>
      </c>
      <c r="M523" s="80" t="s">
        <v>2473</v>
      </c>
      <c r="N523" s="80" t="s">
        <v>1232</v>
      </c>
      <c r="O523" s="80">
        <v>198.81</v>
      </c>
      <c r="P523" s="80">
        <v>72.03</v>
      </c>
      <c r="Q523" s="80">
        <f t="shared" si="27"/>
        <v>270.84000000000003</v>
      </c>
      <c r="R523" s="80">
        <v>270.51</v>
      </c>
      <c r="S523" s="80">
        <v>10.5</v>
      </c>
      <c r="T523" s="83" t="s">
        <v>142</v>
      </c>
      <c r="U523" s="85" t="s">
        <v>143</v>
      </c>
    </row>
    <row r="524" spans="1:21" ht="99.75">
      <c r="A524" s="77">
        <v>7</v>
      </c>
      <c r="B524" s="79" t="s">
        <v>221</v>
      </c>
      <c r="C524" s="77" t="s">
        <v>2436</v>
      </c>
      <c r="D524" s="36" t="s">
        <v>2474</v>
      </c>
      <c r="E524" s="51" t="s">
        <v>2449</v>
      </c>
      <c r="F524" s="79" t="s">
        <v>135</v>
      </c>
      <c r="G524" s="52" t="s">
        <v>2446</v>
      </c>
      <c r="H524" s="79" t="s">
        <v>2436</v>
      </c>
      <c r="I524" s="79" t="s">
        <v>2475</v>
      </c>
      <c r="J524" s="80">
        <v>15.35</v>
      </c>
      <c r="K524" s="80">
        <v>299.32</v>
      </c>
      <c r="L524" s="80" t="s">
        <v>1714</v>
      </c>
      <c r="M524" s="80" t="s">
        <v>1715</v>
      </c>
      <c r="N524" s="80" t="s">
        <v>216</v>
      </c>
      <c r="O524" s="80">
        <v>296.16</v>
      </c>
      <c r="P524" s="80"/>
      <c r="Q524" s="80">
        <f t="shared" si="27"/>
        <v>296.16</v>
      </c>
      <c r="R524" s="80">
        <v>294.37</v>
      </c>
      <c r="S524" s="80">
        <v>15.35</v>
      </c>
      <c r="T524" s="83" t="s">
        <v>142</v>
      </c>
      <c r="U524" s="85" t="s">
        <v>143</v>
      </c>
    </row>
    <row r="525" spans="1:21" ht="71.25">
      <c r="A525" s="77">
        <v>8</v>
      </c>
      <c r="B525" s="79" t="s">
        <v>221</v>
      </c>
      <c r="C525" s="77" t="s">
        <v>2436</v>
      </c>
      <c r="D525" s="36" t="s">
        <v>2476</v>
      </c>
      <c r="E525" s="51" t="s">
        <v>2453</v>
      </c>
      <c r="F525" s="79" t="s">
        <v>135</v>
      </c>
      <c r="G525" s="52" t="s">
        <v>2446</v>
      </c>
      <c r="H525" s="79" t="s">
        <v>2436</v>
      </c>
      <c r="I525" s="79" t="s">
        <v>824</v>
      </c>
      <c r="J525" s="80">
        <v>8.1</v>
      </c>
      <c r="K525" s="80">
        <v>208.63</v>
      </c>
      <c r="L525" s="80" t="s">
        <v>2477</v>
      </c>
      <c r="M525" s="80" t="s">
        <v>2478</v>
      </c>
      <c r="N525" s="80" t="s">
        <v>230</v>
      </c>
      <c r="O525" s="80">
        <v>196.58</v>
      </c>
      <c r="P525" s="80"/>
      <c r="Q525" s="80">
        <f t="shared" si="27"/>
        <v>196.58</v>
      </c>
      <c r="R525" s="80">
        <v>205</v>
      </c>
      <c r="S525" s="80">
        <v>8.1</v>
      </c>
      <c r="T525" s="83" t="s">
        <v>142</v>
      </c>
      <c r="U525" s="85" t="s">
        <v>143</v>
      </c>
    </row>
    <row r="526" spans="1:21" ht="99.75">
      <c r="A526" s="77">
        <v>9</v>
      </c>
      <c r="B526" s="79" t="s">
        <v>221</v>
      </c>
      <c r="C526" s="77" t="s">
        <v>2436</v>
      </c>
      <c r="D526" s="36" t="s">
        <v>2479</v>
      </c>
      <c r="E526" s="51" t="s">
        <v>2455</v>
      </c>
      <c r="F526" s="79" t="s">
        <v>135</v>
      </c>
      <c r="G526" s="52" t="s">
        <v>2446</v>
      </c>
      <c r="H526" s="79" t="s">
        <v>2436</v>
      </c>
      <c r="I526" s="79" t="s">
        <v>2475</v>
      </c>
      <c r="J526" s="80">
        <v>3.85</v>
      </c>
      <c r="K526" s="80">
        <v>127.98</v>
      </c>
      <c r="L526" s="80" t="s">
        <v>882</v>
      </c>
      <c r="M526" s="80" t="s">
        <v>883</v>
      </c>
      <c r="N526" s="80" t="s">
        <v>216</v>
      </c>
      <c r="O526" s="80">
        <v>120.64</v>
      </c>
      <c r="P526" s="80"/>
      <c r="Q526" s="80">
        <f t="shared" si="27"/>
        <v>120.64</v>
      </c>
      <c r="R526" s="80">
        <v>97.22</v>
      </c>
      <c r="S526" s="80">
        <v>3.85</v>
      </c>
      <c r="T526" s="83" t="s">
        <v>142</v>
      </c>
      <c r="U526" s="85" t="s">
        <v>261</v>
      </c>
    </row>
    <row r="527" spans="1:21" ht="71.25">
      <c r="A527" s="77">
        <v>8</v>
      </c>
      <c r="B527" s="79" t="s">
        <v>221</v>
      </c>
      <c r="C527" s="77" t="s">
        <v>2436</v>
      </c>
      <c r="D527" s="36" t="s">
        <v>2480</v>
      </c>
      <c r="E527" s="51" t="s">
        <v>2481</v>
      </c>
      <c r="F527" s="79" t="s">
        <v>135</v>
      </c>
      <c r="G527" s="52" t="s">
        <v>21</v>
      </c>
      <c r="H527" s="80" t="s">
        <v>2443</v>
      </c>
      <c r="I527" s="79" t="s">
        <v>2482</v>
      </c>
      <c r="J527" s="80">
        <v>5.25</v>
      </c>
      <c r="K527" s="80">
        <v>105.68</v>
      </c>
      <c r="L527" s="80" t="s">
        <v>609</v>
      </c>
      <c r="M527" s="80" t="s">
        <v>924</v>
      </c>
      <c r="N527" s="90" t="s">
        <v>278</v>
      </c>
      <c r="O527" s="80">
        <v>103.66</v>
      </c>
      <c r="P527" s="80"/>
      <c r="Q527" s="80">
        <f t="shared" si="27"/>
        <v>103.66</v>
      </c>
      <c r="R527" s="51">
        <f>86.01+14.89</f>
        <v>100.9</v>
      </c>
      <c r="S527" s="80">
        <v>5.25</v>
      </c>
      <c r="T527" s="83" t="s">
        <v>142</v>
      </c>
      <c r="U527" s="85" t="s">
        <v>143</v>
      </c>
    </row>
    <row r="528" spans="1:21" ht="99.75">
      <c r="A528" s="77">
        <v>9</v>
      </c>
      <c r="B528" s="79" t="s">
        <v>221</v>
      </c>
      <c r="C528" s="77" t="s">
        <v>2436</v>
      </c>
      <c r="D528" s="36" t="s">
        <v>2483</v>
      </c>
      <c r="E528" s="51" t="s">
        <v>2484</v>
      </c>
      <c r="F528" s="79" t="s">
        <v>135</v>
      </c>
      <c r="G528" s="52" t="s">
        <v>21</v>
      </c>
      <c r="H528" s="80" t="s">
        <v>2443</v>
      </c>
      <c r="I528" s="79" t="s">
        <v>2471</v>
      </c>
      <c r="J528" s="80">
        <v>19.15</v>
      </c>
      <c r="K528" s="80">
        <v>492.79</v>
      </c>
      <c r="L528" s="80" t="s">
        <v>2485</v>
      </c>
      <c r="M528" s="80" t="s">
        <v>2486</v>
      </c>
      <c r="N528" s="80" t="s">
        <v>230</v>
      </c>
      <c r="O528" s="80">
        <v>476.39</v>
      </c>
      <c r="P528" s="80">
        <v>33.72</v>
      </c>
      <c r="Q528" s="80">
        <f t="shared" si="27"/>
        <v>510.11</v>
      </c>
      <c r="R528" s="51">
        <f>524.37+19.9</f>
        <v>544.27</v>
      </c>
      <c r="S528" s="80">
        <v>20.75</v>
      </c>
      <c r="T528" s="83" t="s">
        <v>142</v>
      </c>
      <c r="U528" s="85" t="s">
        <v>143</v>
      </c>
    </row>
    <row r="529" spans="1:21" ht="85.5">
      <c r="A529" s="77">
        <v>10</v>
      </c>
      <c r="B529" s="79" t="s">
        <v>221</v>
      </c>
      <c r="C529" s="77" t="s">
        <v>2436</v>
      </c>
      <c r="D529" s="36" t="s">
        <v>2487</v>
      </c>
      <c r="E529" s="51" t="s">
        <v>2488</v>
      </c>
      <c r="F529" s="79" t="s">
        <v>135</v>
      </c>
      <c r="G529" s="52" t="s">
        <v>21</v>
      </c>
      <c r="H529" s="80" t="s">
        <v>2443</v>
      </c>
      <c r="I529" s="79" t="s">
        <v>2489</v>
      </c>
      <c r="J529" s="80">
        <v>7</v>
      </c>
      <c r="K529" s="80">
        <v>158.41</v>
      </c>
      <c r="L529" s="80" t="s">
        <v>2490</v>
      </c>
      <c r="M529" s="80" t="s">
        <v>2491</v>
      </c>
      <c r="N529" s="80" t="s">
        <v>216</v>
      </c>
      <c r="O529" s="80">
        <v>153.5</v>
      </c>
      <c r="P529" s="80"/>
      <c r="Q529" s="80">
        <f t="shared" si="27"/>
        <v>153.5</v>
      </c>
      <c r="R529" s="51">
        <f>151.06+18.07</f>
        <v>169.13</v>
      </c>
      <c r="S529" s="80">
        <v>7</v>
      </c>
      <c r="T529" s="83" t="s">
        <v>142</v>
      </c>
      <c r="U529" s="85" t="s">
        <v>143</v>
      </c>
    </row>
    <row r="530" spans="1:21" ht="114">
      <c r="A530" s="77">
        <v>10</v>
      </c>
      <c r="B530" s="79" t="s">
        <v>221</v>
      </c>
      <c r="C530" s="77" t="s">
        <v>2436</v>
      </c>
      <c r="D530" s="36" t="s">
        <v>2492</v>
      </c>
      <c r="E530" s="51" t="s">
        <v>2493</v>
      </c>
      <c r="F530" s="79" t="s">
        <v>135</v>
      </c>
      <c r="G530" s="52" t="s">
        <v>2446</v>
      </c>
      <c r="H530" s="79" t="s">
        <v>2436</v>
      </c>
      <c r="I530" s="79" t="s">
        <v>944</v>
      </c>
      <c r="J530" s="80">
        <v>17.78</v>
      </c>
      <c r="K530" s="80">
        <v>406.09</v>
      </c>
      <c r="L530" s="80" t="s">
        <v>2490</v>
      </c>
      <c r="M530" s="80" t="s">
        <v>2491</v>
      </c>
      <c r="N530" s="80" t="s">
        <v>526</v>
      </c>
      <c r="O530" s="80">
        <v>391.45</v>
      </c>
      <c r="P530" s="80">
        <v>139.13</v>
      </c>
      <c r="Q530" s="80">
        <f t="shared" si="27"/>
        <v>530.5799999999999</v>
      </c>
      <c r="R530" s="80">
        <v>533.77</v>
      </c>
      <c r="S530" s="80">
        <v>17.78</v>
      </c>
      <c r="T530" s="83" t="s">
        <v>142</v>
      </c>
      <c r="U530" s="85" t="s">
        <v>143</v>
      </c>
    </row>
    <row r="531" spans="1:21" ht="71.25">
      <c r="A531" s="77">
        <v>11</v>
      </c>
      <c r="B531" s="79" t="s">
        <v>244</v>
      </c>
      <c r="C531" s="77" t="s">
        <v>2436</v>
      </c>
      <c r="D531" s="36" t="s">
        <v>2497</v>
      </c>
      <c r="E531" s="51" t="s">
        <v>2442</v>
      </c>
      <c r="F531" s="79" t="s">
        <v>135</v>
      </c>
      <c r="G531" s="53" t="s">
        <v>21</v>
      </c>
      <c r="H531" s="80" t="s">
        <v>2443</v>
      </c>
      <c r="I531" s="81" t="s">
        <v>944</v>
      </c>
      <c r="J531" s="80">
        <v>4.9</v>
      </c>
      <c r="K531" s="80">
        <v>227.43</v>
      </c>
      <c r="L531" s="80" t="s">
        <v>2498</v>
      </c>
      <c r="M531" s="80" t="s">
        <v>2499</v>
      </c>
      <c r="N531" s="80" t="s">
        <v>579</v>
      </c>
      <c r="O531" s="80">
        <v>259.77</v>
      </c>
      <c r="P531" s="80"/>
      <c r="Q531" s="80">
        <f aca="true" t="shared" si="28" ref="Q531:Q538">SUM(O531:P531)</f>
        <v>259.77</v>
      </c>
      <c r="R531" s="80">
        <v>247.44</v>
      </c>
      <c r="S531" s="80">
        <v>6</v>
      </c>
      <c r="T531" s="85" t="s">
        <v>142</v>
      </c>
      <c r="U531" s="83" t="s">
        <v>143</v>
      </c>
    </row>
    <row r="532" spans="1:21" ht="85.5">
      <c r="A532" s="77">
        <v>12</v>
      </c>
      <c r="B532" s="79" t="s">
        <v>244</v>
      </c>
      <c r="C532" s="77" t="s">
        <v>2436</v>
      </c>
      <c r="D532" s="36" t="s">
        <v>2500</v>
      </c>
      <c r="E532" s="51" t="s">
        <v>2449</v>
      </c>
      <c r="F532" s="79" t="s">
        <v>135</v>
      </c>
      <c r="G532" s="53" t="s">
        <v>21</v>
      </c>
      <c r="H532" s="80" t="s">
        <v>2443</v>
      </c>
      <c r="I532" s="81" t="s">
        <v>887</v>
      </c>
      <c r="J532" s="80">
        <v>4</v>
      </c>
      <c r="K532" s="80">
        <v>111.46</v>
      </c>
      <c r="L532" s="80" t="s">
        <v>2501</v>
      </c>
      <c r="M532" s="80" t="s">
        <v>1391</v>
      </c>
      <c r="N532" s="80" t="s">
        <v>273</v>
      </c>
      <c r="O532" s="80">
        <v>110.77</v>
      </c>
      <c r="P532" s="80"/>
      <c r="Q532" s="80">
        <f t="shared" si="28"/>
        <v>110.77</v>
      </c>
      <c r="R532" s="80">
        <f>78.94+7.66</f>
        <v>86.6</v>
      </c>
      <c r="S532" s="80">
        <v>4</v>
      </c>
      <c r="T532" s="85" t="s">
        <v>142</v>
      </c>
      <c r="U532" s="83" t="s">
        <v>143</v>
      </c>
    </row>
    <row r="533" spans="1:21" ht="90">
      <c r="A533" s="77">
        <v>13</v>
      </c>
      <c r="B533" s="79" t="s">
        <v>244</v>
      </c>
      <c r="C533" s="77" t="s">
        <v>2436</v>
      </c>
      <c r="D533" s="36" t="s">
        <v>2502</v>
      </c>
      <c r="E533" s="51" t="s">
        <v>2453</v>
      </c>
      <c r="F533" s="79" t="s">
        <v>135</v>
      </c>
      <c r="G533" s="53" t="s">
        <v>21</v>
      </c>
      <c r="H533" s="80" t="s">
        <v>2443</v>
      </c>
      <c r="I533" s="81" t="s">
        <v>2503</v>
      </c>
      <c r="J533" s="80">
        <v>18</v>
      </c>
      <c r="K533" s="80">
        <v>486.6</v>
      </c>
      <c r="L533" s="80" t="s">
        <v>876</v>
      </c>
      <c r="M533" s="80" t="s">
        <v>2504</v>
      </c>
      <c r="N533" s="80" t="s">
        <v>1774</v>
      </c>
      <c r="O533" s="80">
        <v>253.28</v>
      </c>
      <c r="P533" s="80">
        <v>203.59</v>
      </c>
      <c r="Q533" s="80">
        <f t="shared" si="28"/>
        <v>456.87</v>
      </c>
      <c r="R533" s="80">
        <v>463.55</v>
      </c>
      <c r="S533" s="80">
        <v>22.45</v>
      </c>
      <c r="T533" s="85" t="s">
        <v>2505</v>
      </c>
      <c r="U533" s="83" t="s">
        <v>143</v>
      </c>
    </row>
    <row r="534" spans="1:21" ht="57">
      <c r="A534" s="77">
        <v>11</v>
      </c>
      <c r="B534" s="79" t="s">
        <v>244</v>
      </c>
      <c r="C534" s="77" t="s">
        <v>2436</v>
      </c>
      <c r="D534" s="36" t="s">
        <v>2506</v>
      </c>
      <c r="E534" s="51" t="s">
        <v>2455</v>
      </c>
      <c r="F534" s="79" t="s">
        <v>135</v>
      </c>
      <c r="G534" s="53" t="s">
        <v>2446</v>
      </c>
      <c r="H534" s="53" t="s">
        <v>2436</v>
      </c>
      <c r="I534" s="81" t="s">
        <v>2507</v>
      </c>
      <c r="J534" s="80">
        <v>3.61</v>
      </c>
      <c r="K534" s="80">
        <v>136.49</v>
      </c>
      <c r="L534" s="80" t="s">
        <v>2508</v>
      </c>
      <c r="M534" s="80" t="s">
        <v>2509</v>
      </c>
      <c r="N534" s="80" t="s">
        <v>308</v>
      </c>
      <c r="O534" s="80">
        <v>95.43</v>
      </c>
      <c r="P534" s="80">
        <v>30.62</v>
      </c>
      <c r="Q534" s="80">
        <f t="shared" si="28"/>
        <v>126.05000000000001</v>
      </c>
      <c r="R534" s="80">
        <v>119.12</v>
      </c>
      <c r="S534" s="80">
        <v>4.18</v>
      </c>
      <c r="T534" s="85" t="s">
        <v>142</v>
      </c>
      <c r="U534" s="83" t="s">
        <v>143</v>
      </c>
    </row>
    <row r="535" spans="1:21" ht="85.5">
      <c r="A535" s="77">
        <v>12</v>
      </c>
      <c r="B535" s="79" t="s">
        <v>244</v>
      </c>
      <c r="C535" s="77" t="s">
        <v>2436</v>
      </c>
      <c r="D535" s="36" t="s">
        <v>2510</v>
      </c>
      <c r="E535" s="51" t="s">
        <v>2481</v>
      </c>
      <c r="F535" s="79" t="s">
        <v>135</v>
      </c>
      <c r="G535" s="53" t="s">
        <v>2446</v>
      </c>
      <c r="H535" s="53" t="s">
        <v>2436</v>
      </c>
      <c r="I535" s="81" t="s">
        <v>611</v>
      </c>
      <c r="J535" s="80">
        <v>5.35</v>
      </c>
      <c r="K535" s="80">
        <v>157.71</v>
      </c>
      <c r="L535" s="80" t="s">
        <v>2511</v>
      </c>
      <c r="M535" s="80" t="s">
        <v>2512</v>
      </c>
      <c r="N535" s="80" t="s">
        <v>380</v>
      </c>
      <c r="O535" s="80">
        <v>118.94</v>
      </c>
      <c r="P535" s="80"/>
      <c r="Q535" s="80">
        <f t="shared" si="28"/>
        <v>118.94</v>
      </c>
      <c r="R535" s="80">
        <f>91.61+48.43</f>
        <v>140.04</v>
      </c>
      <c r="S535" s="80">
        <v>5.35</v>
      </c>
      <c r="T535" s="85" t="s">
        <v>142</v>
      </c>
      <c r="U535" s="83" t="s">
        <v>143</v>
      </c>
    </row>
    <row r="536" spans="1:21" ht="71.25">
      <c r="A536" s="77">
        <v>14</v>
      </c>
      <c r="B536" s="79" t="s">
        <v>244</v>
      </c>
      <c r="C536" s="77" t="s">
        <v>2436</v>
      </c>
      <c r="D536" s="36" t="s">
        <v>2513</v>
      </c>
      <c r="E536" s="51" t="s">
        <v>2484</v>
      </c>
      <c r="F536" s="79" t="s">
        <v>135</v>
      </c>
      <c r="G536" s="53" t="s">
        <v>21</v>
      </c>
      <c r="H536" s="80" t="s">
        <v>2443</v>
      </c>
      <c r="I536" s="81" t="s">
        <v>887</v>
      </c>
      <c r="J536" s="80">
        <v>4.7</v>
      </c>
      <c r="K536" s="80">
        <v>122.7</v>
      </c>
      <c r="L536" s="80" t="s">
        <v>825</v>
      </c>
      <c r="M536" s="80" t="s">
        <v>826</v>
      </c>
      <c r="N536" s="80" t="s">
        <v>1415</v>
      </c>
      <c r="O536" s="80">
        <v>104.41</v>
      </c>
      <c r="P536" s="80">
        <f>18.69+10.13</f>
        <v>28.82</v>
      </c>
      <c r="Q536" s="80">
        <f t="shared" si="28"/>
        <v>133.23</v>
      </c>
      <c r="R536" s="80">
        <v>130.08</v>
      </c>
      <c r="S536" s="80">
        <v>4.7</v>
      </c>
      <c r="T536" s="85" t="s">
        <v>142</v>
      </c>
      <c r="U536" s="83" t="s">
        <v>261</v>
      </c>
    </row>
    <row r="537" spans="1:21" ht="142.5">
      <c r="A537" s="77">
        <v>15</v>
      </c>
      <c r="B537" s="79" t="s">
        <v>244</v>
      </c>
      <c r="C537" s="77" t="s">
        <v>2436</v>
      </c>
      <c r="D537" s="36" t="s">
        <v>2516</v>
      </c>
      <c r="E537" s="51" t="s">
        <v>2493</v>
      </c>
      <c r="F537" s="79" t="s">
        <v>135</v>
      </c>
      <c r="G537" s="53" t="s">
        <v>21</v>
      </c>
      <c r="H537" s="80" t="s">
        <v>2443</v>
      </c>
      <c r="I537" s="81" t="s">
        <v>2517</v>
      </c>
      <c r="J537" s="80">
        <v>6</v>
      </c>
      <c r="K537" s="80">
        <v>172.99</v>
      </c>
      <c r="L537" s="80" t="s">
        <v>2518</v>
      </c>
      <c r="M537" s="80" t="s">
        <v>2519</v>
      </c>
      <c r="N537" s="80" t="s">
        <v>2036</v>
      </c>
      <c r="O537" s="80">
        <v>170.83</v>
      </c>
      <c r="P537" s="80"/>
      <c r="Q537" s="80">
        <f t="shared" si="28"/>
        <v>170.83</v>
      </c>
      <c r="R537" s="80">
        <f>169.89+11</f>
        <v>180.89</v>
      </c>
      <c r="S537" s="80">
        <v>6</v>
      </c>
      <c r="T537" s="85" t="s">
        <v>142</v>
      </c>
      <c r="U537" s="83" t="s">
        <v>143</v>
      </c>
    </row>
    <row r="538" spans="1:21" ht="185.25">
      <c r="A538" s="77">
        <v>16</v>
      </c>
      <c r="B538" s="79" t="s">
        <v>244</v>
      </c>
      <c r="C538" s="77" t="s">
        <v>2436</v>
      </c>
      <c r="D538" s="36" t="s">
        <v>2520</v>
      </c>
      <c r="E538" s="51" t="s">
        <v>2521</v>
      </c>
      <c r="F538" s="79" t="s">
        <v>135</v>
      </c>
      <c r="G538" s="53" t="s">
        <v>21</v>
      </c>
      <c r="H538" s="80" t="s">
        <v>2443</v>
      </c>
      <c r="I538" s="81" t="s">
        <v>2522</v>
      </c>
      <c r="J538" s="80">
        <v>15</v>
      </c>
      <c r="K538" s="80">
        <v>423.13</v>
      </c>
      <c r="L538" s="80" t="s">
        <v>2523</v>
      </c>
      <c r="M538" s="80" t="s">
        <v>2524</v>
      </c>
      <c r="N538" s="80" t="s">
        <v>2524</v>
      </c>
      <c r="O538" s="80">
        <v>164.73</v>
      </c>
      <c r="P538" s="80"/>
      <c r="Q538" s="80">
        <f t="shared" si="28"/>
        <v>164.73</v>
      </c>
      <c r="R538" s="80">
        <v>161.21</v>
      </c>
      <c r="S538" s="80">
        <v>9</v>
      </c>
      <c r="T538" s="85" t="s">
        <v>142</v>
      </c>
      <c r="U538" s="83" t="s">
        <v>143</v>
      </c>
    </row>
    <row r="539" spans="1:21" ht="60">
      <c r="A539" s="77">
        <v>17</v>
      </c>
      <c r="B539" s="79" t="s">
        <v>279</v>
      </c>
      <c r="C539" s="77" t="s">
        <v>2436</v>
      </c>
      <c r="D539" s="37" t="s">
        <v>2528</v>
      </c>
      <c r="E539" s="51" t="s">
        <v>2442</v>
      </c>
      <c r="F539" s="79" t="s">
        <v>135</v>
      </c>
      <c r="G539" s="79" t="s">
        <v>21</v>
      </c>
      <c r="H539" s="79" t="s">
        <v>2436</v>
      </c>
      <c r="I539" s="79" t="s">
        <v>864</v>
      </c>
      <c r="J539" s="80">
        <v>34.3</v>
      </c>
      <c r="K539" s="80">
        <v>1202.93</v>
      </c>
      <c r="L539" s="80" t="s">
        <v>2529</v>
      </c>
      <c r="M539" s="80" t="s">
        <v>2530</v>
      </c>
      <c r="N539" s="79" t="s">
        <v>893</v>
      </c>
      <c r="O539" s="80">
        <v>1188.12</v>
      </c>
      <c r="P539" s="80"/>
      <c r="Q539" s="80">
        <f>SUM(O539:P539)</f>
        <v>1188.12</v>
      </c>
      <c r="R539" s="80">
        <v>1169.06</v>
      </c>
      <c r="S539" s="80">
        <v>34.3</v>
      </c>
      <c r="T539" s="83" t="s">
        <v>142</v>
      </c>
      <c r="U539" s="83" t="s">
        <v>143</v>
      </c>
    </row>
    <row r="540" spans="1:21" ht="89.25">
      <c r="A540" s="77">
        <v>18</v>
      </c>
      <c r="B540" s="79" t="s">
        <v>313</v>
      </c>
      <c r="C540" s="77" t="s">
        <v>2436</v>
      </c>
      <c r="D540" s="69" t="s">
        <v>2531</v>
      </c>
      <c r="E540" s="77" t="s">
        <v>2442</v>
      </c>
      <c r="F540" s="79" t="s">
        <v>159</v>
      </c>
      <c r="G540" s="111" t="s">
        <v>21</v>
      </c>
      <c r="H540" s="80" t="s">
        <v>2443</v>
      </c>
      <c r="I540" s="111" t="s">
        <v>2532</v>
      </c>
      <c r="J540" s="80">
        <v>8.8</v>
      </c>
      <c r="K540" s="80">
        <v>239.07</v>
      </c>
      <c r="L540" s="80" t="s">
        <v>2533</v>
      </c>
      <c r="M540" s="80" t="s">
        <v>2534</v>
      </c>
      <c r="N540" s="80" t="s">
        <v>380</v>
      </c>
      <c r="O540" s="80">
        <v>238.13</v>
      </c>
      <c r="P540" s="80"/>
      <c r="Q540" s="80">
        <f aca="true" t="shared" si="29" ref="Q540:Q545">SUM(O540:P540)</f>
        <v>238.13</v>
      </c>
      <c r="R540" s="80">
        <v>221.28</v>
      </c>
      <c r="S540" s="80">
        <v>8.8</v>
      </c>
      <c r="T540" s="56" t="s">
        <v>142</v>
      </c>
      <c r="U540" s="56" t="s">
        <v>261</v>
      </c>
    </row>
    <row r="541" spans="1:21" ht="76.5">
      <c r="A541" s="77">
        <v>19</v>
      </c>
      <c r="B541" s="79" t="s">
        <v>313</v>
      </c>
      <c r="C541" s="77" t="s">
        <v>2436</v>
      </c>
      <c r="D541" s="69" t="s">
        <v>2535</v>
      </c>
      <c r="E541" s="77" t="s">
        <v>2449</v>
      </c>
      <c r="F541" s="79" t="s">
        <v>159</v>
      </c>
      <c r="G541" s="111" t="s">
        <v>21</v>
      </c>
      <c r="H541" s="80" t="s">
        <v>2443</v>
      </c>
      <c r="I541" s="111" t="s">
        <v>2526</v>
      </c>
      <c r="J541" s="80">
        <v>4.7</v>
      </c>
      <c r="K541" s="80">
        <v>117.88</v>
      </c>
      <c r="L541" s="80" t="s">
        <v>2523</v>
      </c>
      <c r="M541" s="80" t="s">
        <v>2536</v>
      </c>
      <c r="N541" s="80" t="s">
        <v>308</v>
      </c>
      <c r="O541" s="80">
        <v>104.81</v>
      </c>
      <c r="P541" s="80"/>
      <c r="Q541" s="80">
        <f t="shared" si="29"/>
        <v>104.81</v>
      </c>
      <c r="R541" s="80">
        <v>104.78</v>
      </c>
      <c r="S541" s="80">
        <v>4.7</v>
      </c>
      <c r="T541" s="56" t="s">
        <v>142</v>
      </c>
      <c r="U541" s="56" t="s">
        <v>261</v>
      </c>
    </row>
    <row r="542" spans="1:21" ht="76.5">
      <c r="A542" s="77">
        <v>20</v>
      </c>
      <c r="B542" s="79" t="s">
        <v>313</v>
      </c>
      <c r="C542" s="77" t="s">
        <v>2436</v>
      </c>
      <c r="D542" s="69" t="s">
        <v>2537</v>
      </c>
      <c r="E542" s="77" t="s">
        <v>2453</v>
      </c>
      <c r="F542" s="79" t="s">
        <v>159</v>
      </c>
      <c r="G542" s="111" t="s">
        <v>21</v>
      </c>
      <c r="H542" s="80" t="s">
        <v>2443</v>
      </c>
      <c r="I542" s="111" t="s">
        <v>2538</v>
      </c>
      <c r="J542" s="80">
        <v>10.5</v>
      </c>
      <c r="K542" s="80">
        <v>262.42</v>
      </c>
      <c r="L542" s="80" t="s">
        <v>2533</v>
      </c>
      <c r="M542" s="80" t="s">
        <v>2534</v>
      </c>
      <c r="N542" s="80" t="s">
        <v>380</v>
      </c>
      <c r="O542" s="80">
        <v>261.31</v>
      </c>
      <c r="P542" s="80"/>
      <c r="Q542" s="80">
        <f t="shared" si="29"/>
        <v>261.31</v>
      </c>
      <c r="R542" s="80">
        <v>288.04</v>
      </c>
      <c r="S542" s="80">
        <v>10.5</v>
      </c>
      <c r="T542" s="56" t="s">
        <v>142</v>
      </c>
      <c r="U542" s="56" t="s">
        <v>261</v>
      </c>
    </row>
    <row r="543" spans="1:21" ht="102">
      <c r="A543" s="77">
        <v>13</v>
      </c>
      <c r="B543" s="79" t="s">
        <v>313</v>
      </c>
      <c r="C543" s="77" t="s">
        <v>2436</v>
      </c>
      <c r="D543" s="69" t="s">
        <v>2539</v>
      </c>
      <c r="E543" s="77" t="s">
        <v>2455</v>
      </c>
      <c r="F543" s="79" t="s">
        <v>159</v>
      </c>
      <c r="G543" s="111" t="s">
        <v>2446</v>
      </c>
      <c r="H543" s="111" t="s">
        <v>2436</v>
      </c>
      <c r="I543" s="111" t="s">
        <v>2526</v>
      </c>
      <c r="J543" s="80">
        <v>12</v>
      </c>
      <c r="K543" s="80">
        <v>302.92</v>
      </c>
      <c r="L543" s="80" t="s">
        <v>987</v>
      </c>
      <c r="M543" s="80" t="s">
        <v>1427</v>
      </c>
      <c r="N543" s="80" t="s">
        <v>2036</v>
      </c>
      <c r="O543" s="80">
        <v>271.61</v>
      </c>
      <c r="P543" s="80"/>
      <c r="Q543" s="80">
        <f t="shared" si="29"/>
        <v>271.61</v>
      </c>
      <c r="R543" s="80">
        <v>270.95</v>
      </c>
      <c r="S543" s="80">
        <v>12</v>
      </c>
      <c r="T543" s="56" t="s">
        <v>142</v>
      </c>
      <c r="U543" s="56" t="s">
        <v>261</v>
      </c>
    </row>
    <row r="544" spans="1:21" ht="127.5">
      <c r="A544" s="77">
        <v>21</v>
      </c>
      <c r="B544" s="79" t="s">
        <v>313</v>
      </c>
      <c r="C544" s="77" t="s">
        <v>2436</v>
      </c>
      <c r="D544" s="69" t="s">
        <v>2540</v>
      </c>
      <c r="E544" s="77" t="s">
        <v>2481</v>
      </c>
      <c r="F544" s="79" t="s">
        <v>391</v>
      </c>
      <c r="G544" s="111" t="s">
        <v>21</v>
      </c>
      <c r="H544" s="80" t="s">
        <v>2443</v>
      </c>
      <c r="I544" s="111" t="s">
        <v>2541</v>
      </c>
      <c r="J544" s="80">
        <v>9.99</v>
      </c>
      <c r="K544" s="80">
        <v>427.71</v>
      </c>
      <c r="L544" s="80" t="s">
        <v>1793</v>
      </c>
      <c r="M544" s="80" t="s">
        <v>1794</v>
      </c>
      <c r="N544" s="80"/>
      <c r="O544" s="80">
        <v>423.71</v>
      </c>
      <c r="P544" s="80"/>
      <c r="Q544" s="80">
        <f t="shared" si="29"/>
        <v>423.71</v>
      </c>
      <c r="R544" s="80">
        <v>439.25</v>
      </c>
      <c r="S544" s="80">
        <v>9.99</v>
      </c>
      <c r="T544" s="56" t="s">
        <v>142</v>
      </c>
      <c r="U544" s="56" t="s">
        <v>261</v>
      </c>
    </row>
    <row r="545" spans="1:21" ht="178.5">
      <c r="A545" s="77">
        <v>14</v>
      </c>
      <c r="B545" s="79" t="s">
        <v>313</v>
      </c>
      <c r="C545" s="77" t="s">
        <v>2436</v>
      </c>
      <c r="D545" s="39" t="s">
        <v>2542</v>
      </c>
      <c r="E545" s="77" t="s">
        <v>2484</v>
      </c>
      <c r="F545" s="79" t="s">
        <v>175</v>
      </c>
      <c r="G545" s="79" t="s">
        <v>2446</v>
      </c>
      <c r="H545" s="111" t="s">
        <v>2436</v>
      </c>
      <c r="I545" s="79" t="s">
        <v>944</v>
      </c>
      <c r="J545" s="115" t="s">
        <v>141</v>
      </c>
      <c r="K545" s="80">
        <v>88.78</v>
      </c>
      <c r="L545" s="80" t="s">
        <v>2523</v>
      </c>
      <c r="M545" s="80" t="s">
        <v>2536</v>
      </c>
      <c r="N545" s="80" t="s">
        <v>2036</v>
      </c>
      <c r="O545" s="80">
        <v>88.54</v>
      </c>
      <c r="P545" s="80"/>
      <c r="Q545" s="80">
        <f t="shared" si="29"/>
        <v>88.54</v>
      </c>
      <c r="R545" s="80">
        <v>81.48</v>
      </c>
      <c r="S545" s="80" t="s">
        <v>141</v>
      </c>
      <c r="T545" s="56" t="s">
        <v>142</v>
      </c>
      <c r="U545" s="56" t="s">
        <v>261</v>
      </c>
    </row>
    <row r="546" spans="1:21" ht="114.75">
      <c r="A546" s="77">
        <v>15</v>
      </c>
      <c r="B546" s="79" t="s">
        <v>389</v>
      </c>
      <c r="C546" s="77" t="s">
        <v>2436</v>
      </c>
      <c r="D546" s="156" t="s">
        <v>2543</v>
      </c>
      <c r="E546" s="151" t="s">
        <v>2449</v>
      </c>
      <c r="F546" s="151" t="s">
        <v>135</v>
      </c>
      <c r="G546" s="151" t="s">
        <v>2446</v>
      </c>
      <c r="H546" s="151" t="s">
        <v>2436</v>
      </c>
      <c r="I546" s="119" t="s">
        <v>2544</v>
      </c>
      <c r="J546" s="157">
        <v>3.972</v>
      </c>
      <c r="K546" s="121">
        <v>190.96</v>
      </c>
      <c r="L546" s="121" t="s">
        <v>2545</v>
      </c>
      <c r="M546" s="121" t="s">
        <v>2546</v>
      </c>
      <c r="N546" s="119" t="s">
        <v>268</v>
      </c>
      <c r="O546" s="121">
        <v>185.59</v>
      </c>
      <c r="P546" s="121"/>
      <c r="Q546" s="121">
        <v>185.59</v>
      </c>
      <c r="R546" s="127">
        <v>163.12</v>
      </c>
      <c r="S546" s="121">
        <v>3</v>
      </c>
      <c r="T546" s="122" t="s">
        <v>142</v>
      </c>
      <c r="U546" s="122"/>
    </row>
    <row r="547" spans="1:21" ht="89.25">
      <c r="A547" s="77">
        <v>16</v>
      </c>
      <c r="B547" s="79" t="s">
        <v>395</v>
      </c>
      <c r="C547" s="77" t="s">
        <v>2436</v>
      </c>
      <c r="D547" s="136" t="s">
        <v>2566</v>
      </c>
      <c r="E547" s="60" t="s">
        <v>2449</v>
      </c>
      <c r="F547" s="60" t="s">
        <v>159</v>
      </c>
      <c r="G547" s="60" t="s">
        <v>2446</v>
      </c>
      <c r="H547" s="40" t="s">
        <v>2563</v>
      </c>
      <c r="I547" s="40" t="s">
        <v>2567</v>
      </c>
      <c r="J547" s="40">
        <v>8.5</v>
      </c>
      <c r="K547" s="40">
        <v>404.73</v>
      </c>
      <c r="L547" s="40" t="s">
        <v>660</v>
      </c>
      <c r="M547" s="40" t="s">
        <v>2568</v>
      </c>
      <c r="N547" s="40" t="s">
        <v>268</v>
      </c>
      <c r="O547" s="77"/>
      <c r="P547" s="77"/>
      <c r="Q547" s="40">
        <v>398.46</v>
      </c>
      <c r="R547" s="40">
        <v>341.63</v>
      </c>
      <c r="S547" s="40">
        <v>8.5</v>
      </c>
      <c r="T547" s="62" t="s">
        <v>397</v>
      </c>
      <c r="U547" s="77"/>
    </row>
    <row r="548" spans="1:21" ht="153">
      <c r="A548" s="77">
        <v>17</v>
      </c>
      <c r="B548" s="79" t="s">
        <v>395</v>
      </c>
      <c r="C548" s="77" t="s">
        <v>2436</v>
      </c>
      <c r="D548" s="136" t="s">
        <v>2570</v>
      </c>
      <c r="E548" s="60" t="s">
        <v>2455</v>
      </c>
      <c r="F548" s="60" t="s">
        <v>138</v>
      </c>
      <c r="G548" s="60" t="s">
        <v>2446</v>
      </c>
      <c r="H548" s="155" t="s">
        <v>2563</v>
      </c>
      <c r="I548" s="40" t="s">
        <v>1063</v>
      </c>
      <c r="J548" s="40">
        <v>7.03</v>
      </c>
      <c r="K548" s="40">
        <v>342.23</v>
      </c>
      <c r="L548" s="155" t="s">
        <v>963</v>
      </c>
      <c r="M548" s="155" t="s">
        <v>322</v>
      </c>
      <c r="N548" s="155" t="s">
        <v>1013</v>
      </c>
      <c r="O548" s="77"/>
      <c r="P548" s="77"/>
      <c r="Q548" s="40">
        <v>320.19</v>
      </c>
      <c r="R548" s="155">
        <v>283.85</v>
      </c>
      <c r="S548" s="155">
        <v>7.03</v>
      </c>
      <c r="T548" s="62" t="s">
        <v>397</v>
      </c>
      <c r="U548" s="77"/>
    </row>
    <row r="549" spans="1:21" ht="89.25">
      <c r="A549" s="77">
        <v>18</v>
      </c>
      <c r="B549" s="79" t="s">
        <v>415</v>
      </c>
      <c r="C549" s="77" t="s">
        <v>2436</v>
      </c>
      <c r="D549" s="64" t="s">
        <v>2571</v>
      </c>
      <c r="E549" s="60" t="s">
        <v>2438</v>
      </c>
      <c r="F549" s="60" t="s">
        <v>159</v>
      </c>
      <c r="G549" s="60" t="s">
        <v>2446</v>
      </c>
      <c r="H549" s="41" t="s">
        <v>2436</v>
      </c>
      <c r="I549" s="40" t="s">
        <v>2572</v>
      </c>
      <c r="J549" s="40">
        <v>2.91</v>
      </c>
      <c r="K549" s="40">
        <v>118.97</v>
      </c>
      <c r="L549" s="63" t="s">
        <v>963</v>
      </c>
      <c r="M549" s="63" t="s">
        <v>322</v>
      </c>
      <c r="N549" s="63" t="s">
        <v>1013</v>
      </c>
      <c r="O549" s="77"/>
      <c r="P549" s="77"/>
      <c r="Q549" s="78">
        <v>127.88</v>
      </c>
      <c r="R549" s="78">
        <v>97.85</v>
      </c>
      <c r="S549" s="78">
        <v>2.91</v>
      </c>
      <c r="T549" s="65" t="s">
        <v>397</v>
      </c>
      <c r="U549" s="63" t="s">
        <v>141</v>
      </c>
    </row>
    <row r="550" spans="1:21" ht="92.25" customHeight="1">
      <c r="A550" s="77">
        <v>22</v>
      </c>
      <c r="B550" s="79" t="s">
        <v>445</v>
      </c>
      <c r="C550" s="77" t="s">
        <v>2436</v>
      </c>
      <c r="D550" s="66" t="s">
        <v>2589</v>
      </c>
      <c r="E550" s="60" t="s">
        <v>2590</v>
      </c>
      <c r="F550" s="43" t="s">
        <v>138</v>
      </c>
      <c r="G550" s="43" t="s">
        <v>21</v>
      </c>
      <c r="H550" s="43" t="s">
        <v>2436</v>
      </c>
      <c r="I550" s="142" t="s">
        <v>2591</v>
      </c>
      <c r="J550" s="67">
        <v>13.5</v>
      </c>
      <c r="K550" s="42">
        <v>461.75</v>
      </c>
      <c r="L550" s="42" t="s">
        <v>2592</v>
      </c>
      <c r="M550" s="42" t="s">
        <v>2593</v>
      </c>
      <c r="N550" s="42" t="s">
        <v>1013</v>
      </c>
      <c r="O550" s="77"/>
      <c r="P550" s="77"/>
      <c r="Q550" s="42">
        <v>560.65</v>
      </c>
      <c r="R550" s="42">
        <v>532.46</v>
      </c>
      <c r="S550" s="42">
        <v>13.5</v>
      </c>
      <c r="T550" s="168" t="s">
        <v>397</v>
      </c>
      <c r="U550" s="42" t="s">
        <v>451</v>
      </c>
    </row>
    <row r="551" spans="1:21" ht="85.5">
      <c r="A551" s="77">
        <v>1</v>
      </c>
      <c r="B551" s="79" t="s">
        <v>135</v>
      </c>
      <c r="C551" s="77" t="s">
        <v>22</v>
      </c>
      <c r="D551" s="36" t="s">
        <v>2615</v>
      </c>
      <c r="E551" s="60" t="s">
        <v>2616</v>
      </c>
      <c r="F551" s="79" t="s">
        <v>138</v>
      </c>
      <c r="G551" s="44" t="s">
        <v>22</v>
      </c>
      <c r="H551" s="80" t="s">
        <v>2617</v>
      </c>
      <c r="I551" s="149" t="s">
        <v>2618</v>
      </c>
      <c r="J551" s="86">
        <v>5.5</v>
      </c>
      <c r="K551" s="86">
        <v>125</v>
      </c>
      <c r="L551" s="160" t="s">
        <v>2619</v>
      </c>
      <c r="M551" s="160"/>
      <c r="N551" s="160"/>
      <c r="O551" s="86">
        <v>118.97</v>
      </c>
      <c r="P551" s="77"/>
      <c r="Q551" s="77"/>
      <c r="R551" s="86">
        <v>127.46</v>
      </c>
      <c r="S551" s="86">
        <v>5.5</v>
      </c>
      <c r="T551" s="85" t="s">
        <v>142</v>
      </c>
      <c r="U551" s="83" t="s">
        <v>143</v>
      </c>
    </row>
    <row r="552" spans="1:21" ht="99.75">
      <c r="A552" s="77">
        <v>2</v>
      </c>
      <c r="B552" s="79" t="s">
        <v>135</v>
      </c>
      <c r="C552" s="77" t="s">
        <v>22</v>
      </c>
      <c r="D552" s="36" t="s">
        <v>2620</v>
      </c>
      <c r="E552" s="60" t="s">
        <v>2621</v>
      </c>
      <c r="F552" s="79" t="s">
        <v>138</v>
      </c>
      <c r="G552" s="44" t="s">
        <v>22</v>
      </c>
      <c r="H552" s="80" t="s">
        <v>2617</v>
      </c>
      <c r="I552" s="80" t="s">
        <v>2622</v>
      </c>
      <c r="J552" s="86">
        <v>5.5</v>
      </c>
      <c r="K552" s="86">
        <v>125</v>
      </c>
      <c r="L552" s="160" t="s">
        <v>2619</v>
      </c>
      <c r="M552" s="160"/>
      <c r="N552" s="160"/>
      <c r="O552" s="86">
        <v>118.97</v>
      </c>
      <c r="P552" s="77"/>
      <c r="Q552" s="77"/>
      <c r="R552" s="86">
        <v>129.03</v>
      </c>
      <c r="S552" s="86">
        <v>5.5</v>
      </c>
      <c r="T552" s="85" t="s">
        <v>142</v>
      </c>
      <c r="U552" s="83" t="s">
        <v>143</v>
      </c>
    </row>
    <row r="553" spans="1:21" ht="99.75">
      <c r="A553" s="77">
        <v>3</v>
      </c>
      <c r="B553" s="79" t="s">
        <v>135</v>
      </c>
      <c r="C553" s="77" t="s">
        <v>22</v>
      </c>
      <c r="D553" s="36" t="s">
        <v>2623</v>
      </c>
      <c r="E553" s="60" t="s">
        <v>2624</v>
      </c>
      <c r="F553" s="79" t="s">
        <v>138</v>
      </c>
      <c r="G553" s="44" t="s">
        <v>22</v>
      </c>
      <c r="H553" s="80" t="s">
        <v>2617</v>
      </c>
      <c r="I553" s="80" t="s">
        <v>2625</v>
      </c>
      <c r="J553" s="86">
        <v>6</v>
      </c>
      <c r="K553" s="86">
        <v>125</v>
      </c>
      <c r="L553" s="160" t="s">
        <v>2619</v>
      </c>
      <c r="M553" s="160"/>
      <c r="N553" s="160"/>
      <c r="O553" s="86">
        <v>121.6</v>
      </c>
      <c r="P553" s="77"/>
      <c r="Q553" s="77"/>
      <c r="R553" s="86">
        <v>127.33</v>
      </c>
      <c r="S553" s="86">
        <v>6</v>
      </c>
      <c r="T553" s="85" t="s">
        <v>142</v>
      </c>
      <c r="U553" s="83" t="s">
        <v>143</v>
      </c>
    </row>
    <row r="554" spans="1:21" ht="85.5">
      <c r="A554" s="77">
        <v>4</v>
      </c>
      <c r="B554" s="79" t="s">
        <v>135</v>
      </c>
      <c r="C554" s="77" t="s">
        <v>22</v>
      </c>
      <c r="D554" s="36" t="s">
        <v>2626</v>
      </c>
      <c r="E554" s="60" t="s">
        <v>2627</v>
      </c>
      <c r="F554" s="79" t="s">
        <v>138</v>
      </c>
      <c r="G554" s="44" t="s">
        <v>22</v>
      </c>
      <c r="H554" s="80" t="s">
        <v>2617</v>
      </c>
      <c r="I554" s="80" t="s">
        <v>2628</v>
      </c>
      <c r="J554" s="86">
        <v>7</v>
      </c>
      <c r="K554" s="86">
        <v>116.7</v>
      </c>
      <c r="L554" s="160" t="s">
        <v>2619</v>
      </c>
      <c r="M554" s="160"/>
      <c r="N554" s="160"/>
      <c r="O554" s="86">
        <v>113.2</v>
      </c>
      <c r="P554" s="77"/>
      <c r="Q554" s="77"/>
      <c r="R554" s="86">
        <v>114.71</v>
      </c>
      <c r="S554" s="86">
        <v>7</v>
      </c>
      <c r="T554" s="85" t="s">
        <v>142</v>
      </c>
      <c r="U554" s="83" t="s">
        <v>143</v>
      </c>
    </row>
    <row r="555" spans="1:21" ht="71.25">
      <c r="A555" s="77">
        <v>5</v>
      </c>
      <c r="B555" s="79" t="s">
        <v>157</v>
      </c>
      <c r="C555" s="77" t="s">
        <v>22</v>
      </c>
      <c r="D555" s="46" t="s">
        <v>2629</v>
      </c>
      <c r="E555" s="60" t="s">
        <v>2624</v>
      </c>
      <c r="F555" s="79" t="s">
        <v>159</v>
      </c>
      <c r="G555" s="47" t="s">
        <v>22</v>
      </c>
      <c r="H555" s="47" t="s">
        <v>2630</v>
      </c>
      <c r="I555" s="47"/>
      <c r="J555" s="78">
        <v>4</v>
      </c>
      <c r="K555" s="78">
        <v>120</v>
      </c>
      <c r="L555" s="48"/>
      <c r="M555" s="48"/>
      <c r="N555" s="87" t="s">
        <v>161</v>
      </c>
      <c r="O555" s="78"/>
      <c r="P555" s="78"/>
      <c r="Q555" s="78"/>
      <c r="R555" s="78">
        <v>61.3</v>
      </c>
      <c r="S555" s="78">
        <v>4</v>
      </c>
      <c r="T555" s="49" t="s">
        <v>142</v>
      </c>
      <c r="U555" s="83" t="s">
        <v>143</v>
      </c>
    </row>
    <row r="556" spans="1:21" ht="71.25">
      <c r="A556" s="77">
        <v>1</v>
      </c>
      <c r="B556" s="79" t="s">
        <v>157</v>
      </c>
      <c r="C556" s="77" t="s">
        <v>22</v>
      </c>
      <c r="D556" s="46" t="s">
        <v>2631</v>
      </c>
      <c r="E556" s="60" t="s">
        <v>2627</v>
      </c>
      <c r="F556" s="79" t="s">
        <v>159</v>
      </c>
      <c r="G556" s="47" t="s">
        <v>2632</v>
      </c>
      <c r="H556" s="47" t="s">
        <v>2617</v>
      </c>
      <c r="I556" s="47"/>
      <c r="J556" s="78">
        <v>11</v>
      </c>
      <c r="K556" s="78">
        <v>260</v>
      </c>
      <c r="L556" s="48"/>
      <c r="M556" s="48"/>
      <c r="N556" s="87" t="s">
        <v>2633</v>
      </c>
      <c r="O556" s="78"/>
      <c r="P556" s="78"/>
      <c r="Q556" s="78"/>
      <c r="R556" s="78">
        <v>285.13</v>
      </c>
      <c r="S556" s="78">
        <v>11</v>
      </c>
      <c r="T556" s="49" t="s">
        <v>142</v>
      </c>
      <c r="U556" s="83" t="s">
        <v>143</v>
      </c>
    </row>
    <row r="557" spans="1:21" ht="60">
      <c r="A557" s="77">
        <v>1</v>
      </c>
      <c r="B557" s="79" t="s">
        <v>176</v>
      </c>
      <c r="C557" s="77" t="s">
        <v>22</v>
      </c>
      <c r="D557" s="37" t="s">
        <v>2634</v>
      </c>
      <c r="E557" s="60" t="s">
        <v>2616</v>
      </c>
      <c r="F557" s="79" t="s">
        <v>159</v>
      </c>
      <c r="G557" s="79" t="s">
        <v>2635</v>
      </c>
      <c r="H557" s="79" t="s">
        <v>2630</v>
      </c>
      <c r="I557" s="79" t="s">
        <v>2636</v>
      </c>
      <c r="J557" s="51">
        <v>15.53</v>
      </c>
      <c r="K557" s="51">
        <v>396.25</v>
      </c>
      <c r="L557" s="80" t="s">
        <v>2637</v>
      </c>
      <c r="M557" s="80" t="s">
        <v>1405</v>
      </c>
      <c r="N557" s="125" t="s">
        <v>1967</v>
      </c>
      <c r="O557" s="51">
        <v>452.13</v>
      </c>
      <c r="P557" s="51">
        <v>52.6</v>
      </c>
      <c r="Q557" s="51">
        <f aca="true" t="shared" si="30" ref="Q557:Q578">SUM(O557:P557)</f>
        <v>504.73</v>
      </c>
      <c r="R557" s="51">
        <v>752.59</v>
      </c>
      <c r="S557" s="51">
        <v>15.53</v>
      </c>
      <c r="T557" s="83" t="s">
        <v>142</v>
      </c>
      <c r="U557" s="83" t="s">
        <v>143</v>
      </c>
    </row>
    <row r="558" spans="1:21" ht="90">
      <c r="A558" s="77">
        <v>2</v>
      </c>
      <c r="B558" s="79" t="s">
        <v>176</v>
      </c>
      <c r="C558" s="77" t="s">
        <v>22</v>
      </c>
      <c r="D558" s="37" t="s">
        <v>2638</v>
      </c>
      <c r="E558" s="60" t="s">
        <v>2621</v>
      </c>
      <c r="F558" s="79" t="s">
        <v>159</v>
      </c>
      <c r="G558" s="79" t="s">
        <v>2635</v>
      </c>
      <c r="H558" s="79" t="s">
        <v>2630</v>
      </c>
      <c r="I558" s="79" t="s">
        <v>2639</v>
      </c>
      <c r="J558" s="51">
        <v>6.23</v>
      </c>
      <c r="K558" s="51">
        <v>150</v>
      </c>
      <c r="L558" s="80" t="s">
        <v>563</v>
      </c>
      <c r="M558" s="80" t="s">
        <v>2640</v>
      </c>
      <c r="N558" s="125" t="s">
        <v>2641</v>
      </c>
      <c r="O558" s="51">
        <v>56.38</v>
      </c>
      <c r="P558" s="51">
        <v>11.37</v>
      </c>
      <c r="Q558" s="51">
        <f t="shared" si="30"/>
        <v>67.75</v>
      </c>
      <c r="R558" s="51">
        <v>175.15</v>
      </c>
      <c r="S558" s="51">
        <v>6.23</v>
      </c>
      <c r="T558" s="83" t="s">
        <v>142</v>
      </c>
      <c r="U558" s="83" t="s">
        <v>143</v>
      </c>
    </row>
    <row r="559" spans="1:21" ht="71.25">
      <c r="A559" s="77">
        <v>6</v>
      </c>
      <c r="B559" s="79" t="s">
        <v>185</v>
      </c>
      <c r="C559" s="77" t="s">
        <v>22</v>
      </c>
      <c r="D559" s="36" t="s">
        <v>2642</v>
      </c>
      <c r="E559" s="60" t="s">
        <v>2616</v>
      </c>
      <c r="F559" s="79" t="s">
        <v>135</v>
      </c>
      <c r="G559" s="79" t="s">
        <v>22</v>
      </c>
      <c r="H559" s="79" t="s">
        <v>2617</v>
      </c>
      <c r="I559" s="79" t="s">
        <v>2643</v>
      </c>
      <c r="J559" s="51">
        <v>12.85</v>
      </c>
      <c r="K559" s="51">
        <v>179.13</v>
      </c>
      <c r="L559" s="160" t="s">
        <v>2644</v>
      </c>
      <c r="M559" s="160" t="s">
        <v>1967</v>
      </c>
      <c r="N559" s="90" t="s">
        <v>841</v>
      </c>
      <c r="O559" s="86">
        <v>220.03</v>
      </c>
      <c r="P559" s="86">
        <v>8.11</v>
      </c>
      <c r="Q559" s="86">
        <f t="shared" si="30"/>
        <v>228.14</v>
      </c>
      <c r="R559" s="86">
        <f>18.99+197.39</f>
        <v>216.38</v>
      </c>
      <c r="S559" s="51">
        <v>12.85</v>
      </c>
      <c r="T559" s="83" t="s">
        <v>142</v>
      </c>
      <c r="U559" s="83" t="s">
        <v>143</v>
      </c>
    </row>
    <row r="560" spans="1:21" ht="85.5">
      <c r="A560" s="77">
        <v>3</v>
      </c>
      <c r="B560" s="79" t="s">
        <v>185</v>
      </c>
      <c r="C560" s="77" t="s">
        <v>22</v>
      </c>
      <c r="D560" s="36" t="s">
        <v>2645</v>
      </c>
      <c r="E560" s="60" t="s">
        <v>2621</v>
      </c>
      <c r="F560" s="79" t="s">
        <v>135</v>
      </c>
      <c r="G560" s="79" t="s">
        <v>2635</v>
      </c>
      <c r="H560" s="79" t="s">
        <v>2630</v>
      </c>
      <c r="I560" s="79" t="s">
        <v>2646</v>
      </c>
      <c r="J560" s="51">
        <v>8.03</v>
      </c>
      <c r="K560" s="51">
        <v>80.86</v>
      </c>
      <c r="L560" s="90" t="s">
        <v>2647</v>
      </c>
      <c r="M560" s="90" t="s">
        <v>2648</v>
      </c>
      <c r="N560" s="90" t="s">
        <v>2649</v>
      </c>
      <c r="O560" s="86">
        <v>77.23</v>
      </c>
      <c r="P560" s="86">
        <v>0</v>
      </c>
      <c r="Q560" s="86">
        <f t="shared" si="30"/>
        <v>77.23</v>
      </c>
      <c r="R560" s="86">
        <v>89.01</v>
      </c>
      <c r="S560" s="51">
        <v>8.03</v>
      </c>
      <c r="T560" s="83" t="s">
        <v>142</v>
      </c>
      <c r="U560" s="83" t="s">
        <v>143</v>
      </c>
    </row>
    <row r="561" spans="1:21" ht="57">
      <c r="A561" s="77">
        <v>1</v>
      </c>
      <c r="B561" s="79" t="s">
        <v>185</v>
      </c>
      <c r="C561" s="77" t="s">
        <v>22</v>
      </c>
      <c r="D561" s="36" t="s">
        <v>2650</v>
      </c>
      <c r="E561" s="60" t="s">
        <v>2624</v>
      </c>
      <c r="F561" s="79" t="s">
        <v>135</v>
      </c>
      <c r="G561" s="79" t="s">
        <v>2651</v>
      </c>
      <c r="H561" s="40" t="s">
        <v>2651</v>
      </c>
      <c r="I561" s="79" t="s">
        <v>2522</v>
      </c>
      <c r="J561" s="51">
        <v>16.02</v>
      </c>
      <c r="K561" s="51">
        <v>197.01</v>
      </c>
      <c r="L561" s="160" t="s">
        <v>2644</v>
      </c>
      <c r="M561" s="160" t="s">
        <v>230</v>
      </c>
      <c r="N561" s="90" t="s">
        <v>230</v>
      </c>
      <c r="O561" s="86">
        <v>149.76</v>
      </c>
      <c r="P561" s="86">
        <v>153.2</v>
      </c>
      <c r="Q561" s="86">
        <f t="shared" si="30"/>
        <v>302.96</v>
      </c>
      <c r="R561" s="74">
        <f>314.16+3.22</f>
        <v>317.38000000000005</v>
      </c>
      <c r="S561" s="51">
        <v>16.02</v>
      </c>
      <c r="T561" s="83" t="s">
        <v>142</v>
      </c>
      <c r="U561" s="83" t="s">
        <v>143</v>
      </c>
    </row>
    <row r="562" spans="1:21" ht="71.25">
      <c r="A562" s="77">
        <v>7</v>
      </c>
      <c r="B562" s="79" t="s">
        <v>185</v>
      </c>
      <c r="C562" s="77" t="s">
        <v>22</v>
      </c>
      <c r="D562" s="36" t="s">
        <v>2652</v>
      </c>
      <c r="E562" s="60" t="s">
        <v>2627</v>
      </c>
      <c r="F562" s="79" t="s">
        <v>135</v>
      </c>
      <c r="G562" s="79" t="s">
        <v>22</v>
      </c>
      <c r="H562" s="79" t="s">
        <v>2630</v>
      </c>
      <c r="I562" s="79" t="s">
        <v>2653</v>
      </c>
      <c r="J562" s="51">
        <v>14.97</v>
      </c>
      <c r="K562" s="51">
        <v>168.63</v>
      </c>
      <c r="L562" s="90" t="s">
        <v>2654</v>
      </c>
      <c r="M562" s="90" t="s">
        <v>2655</v>
      </c>
      <c r="N562" s="90" t="s">
        <v>1415</v>
      </c>
      <c r="O562" s="86">
        <v>402.13</v>
      </c>
      <c r="P562" s="86">
        <v>40.46</v>
      </c>
      <c r="Q562" s="86">
        <f t="shared" si="30"/>
        <v>442.59</v>
      </c>
      <c r="R562" s="86">
        <v>460.29</v>
      </c>
      <c r="S562" s="51">
        <v>14.97</v>
      </c>
      <c r="T562" s="83" t="s">
        <v>142</v>
      </c>
      <c r="U562" s="83" t="s">
        <v>143</v>
      </c>
    </row>
    <row r="563" spans="1:21" ht="75">
      <c r="A563" s="77">
        <v>4</v>
      </c>
      <c r="B563" s="79" t="s">
        <v>202</v>
      </c>
      <c r="C563" s="77" t="s">
        <v>22</v>
      </c>
      <c r="D563" s="37" t="s">
        <v>2656</v>
      </c>
      <c r="E563" s="60" t="s">
        <v>2616</v>
      </c>
      <c r="F563" s="79" t="s">
        <v>135</v>
      </c>
      <c r="G563" s="79" t="s">
        <v>2635</v>
      </c>
      <c r="H563" s="79" t="s">
        <v>2630</v>
      </c>
      <c r="I563" s="79" t="s">
        <v>2657</v>
      </c>
      <c r="J563" s="80">
        <v>6.61</v>
      </c>
      <c r="K563" s="80">
        <v>102.44</v>
      </c>
      <c r="L563" s="80" t="s">
        <v>2658</v>
      </c>
      <c r="M563" s="80" t="s">
        <v>2659</v>
      </c>
      <c r="N563" s="80" t="s">
        <v>526</v>
      </c>
      <c r="O563" s="80">
        <v>102.26</v>
      </c>
      <c r="P563" s="80">
        <v>22.55</v>
      </c>
      <c r="Q563" s="80">
        <f t="shared" si="30"/>
        <v>124.81</v>
      </c>
      <c r="R563" s="80">
        <v>125.28</v>
      </c>
      <c r="S563" s="80">
        <v>6.61</v>
      </c>
      <c r="T563" s="85" t="s">
        <v>142</v>
      </c>
      <c r="U563" s="85" t="s">
        <v>143</v>
      </c>
    </row>
    <row r="564" spans="1:21" ht="90">
      <c r="A564" s="77">
        <v>1</v>
      </c>
      <c r="B564" s="79" t="s">
        <v>202</v>
      </c>
      <c r="C564" s="77" t="s">
        <v>22</v>
      </c>
      <c r="D564" s="37" t="s">
        <v>2660</v>
      </c>
      <c r="E564" s="60" t="s">
        <v>2624</v>
      </c>
      <c r="F564" s="79" t="s">
        <v>135</v>
      </c>
      <c r="G564" s="79" t="s">
        <v>2661</v>
      </c>
      <c r="H564" s="79" t="s">
        <v>2630</v>
      </c>
      <c r="I564" s="79" t="s">
        <v>2489</v>
      </c>
      <c r="J564" s="80">
        <v>2.31</v>
      </c>
      <c r="K564" s="80">
        <v>39.81</v>
      </c>
      <c r="L564" s="80" t="s">
        <v>2662</v>
      </c>
      <c r="M564" s="80" t="s">
        <v>2663</v>
      </c>
      <c r="N564" s="80" t="s">
        <v>543</v>
      </c>
      <c r="O564" s="80">
        <v>37.58</v>
      </c>
      <c r="P564" s="80"/>
      <c r="Q564" s="80">
        <f t="shared" si="30"/>
        <v>37.58</v>
      </c>
      <c r="R564" s="80">
        <v>38.04</v>
      </c>
      <c r="S564" s="80">
        <v>2.31</v>
      </c>
      <c r="T564" s="85" t="s">
        <v>142</v>
      </c>
      <c r="U564" s="85" t="s">
        <v>143</v>
      </c>
    </row>
    <row r="565" spans="1:21" ht="105">
      <c r="A565" s="77">
        <v>8</v>
      </c>
      <c r="B565" s="79" t="s">
        <v>202</v>
      </c>
      <c r="C565" s="77" t="s">
        <v>22</v>
      </c>
      <c r="D565" s="37" t="s">
        <v>2664</v>
      </c>
      <c r="E565" s="60" t="s">
        <v>2627</v>
      </c>
      <c r="F565" s="79" t="s">
        <v>135</v>
      </c>
      <c r="G565" s="79" t="s">
        <v>22</v>
      </c>
      <c r="H565" s="79" t="s">
        <v>2617</v>
      </c>
      <c r="I565" s="79" t="s">
        <v>2665</v>
      </c>
      <c r="J565" s="80">
        <v>4.03</v>
      </c>
      <c r="K565" s="80">
        <v>93.4</v>
      </c>
      <c r="L565" s="80" t="s">
        <v>2666</v>
      </c>
      <c r="M565" s="80"/>
      <c r="N565" s="80" t="s">
        <v>1715</v>
      </c>
      <c r="O565" s="80">
        <v>71.95</v>
      </c>
      <c r="P565" s="80"/>
      <c r="Q565" s="80">
        <f t="shared" si="30"/>
        <v>71.95</v>
      </c>
      <c r="R565" s="80">
        <f>73.63+27.24</f>
        <v>100.86999999999999</v>
      </c>
      <c r="S565" s="80">
        <v>4.03</v>
      </c>
      <c r="T565" s="85" t="s">
        <v>142</v>
      </c>
      <c r="U565" s="85" t="s">
        <v>143</v>
      </c>
    </row>
    <row r="566" spans="1:21" ht="75">
      <c r="A566" s="77">
        <v>1</v>
      </c>
      <c r="B566" s="79" t="s">
        <v>202</v>
      </c>
      <c r="C566" s="77" t="s">
        <v>22</v>
      </c>
      <c r="D566" s="37" t="s">
        <v>2667</v>
      </c>
      <c r="E566" s="60" t="s">
        <v>2668</v>
      </c>
      <c r="F566" s="79" t="s">
        <v>135</v>
      </c>
      <c r="G566" s="79" t="s">
        <v>2669</v>
      </c>
      <c r="H566" s="79" t="s">
        <v>2630</v>
      </c>
      <c r="I566" s="79" t="s">
        <v>2522</v>
      </c>
      <c r="J566" s="80">
        <v>13.34</v>
      </c>
      <c r="K566" s="80">
        <v>223.68</v>
      </c>
      <c r="L566" s="80" t="s">
        <v>2670</v>
      </c>
      <c r="M566" s="80" t="s">
        <v>2671</v>
      </c>
      <c r="N566" s="80" t="s">
        <v>1391</v>
      </c>
      <c r="O566" s="80">
        <v>198.67</v>
      </c>
      <c r="P566" s="80">
        <v>7.87</v>
      </c>
      <c r="Q566" s="80">
        <f t="shared" si="30"/>
        <v>206.54</v>
      </c>
      <c r="R566" s="80">
        <v>222.92</v>
      </c>
      <c r="S566" s="80">
        <v>13.34</v>
      </c>
      <c r="T566" s="85" t="s">
        <v>142</v>
      </c>
      <c r="U566" s="85" t="s">
        <v>143</v>
      </c>
    </row>
    <row r="567" spans="1:21" ht="90">
      <c r="A567" s="77">
        <v>2</v>
      </c>
      <c r="B567" s="79" t="s">
        <v>202</v>
      </c>
      <c r="C567" s="77" t="s">
        <v>22</v>
      </c>
      <c r="D567" s="37" t="s">
        <v>2672</v>
      </c>
      <c r="E567" s="60" t="s">
        <v>2673</v>
      </c>
      <c r="F567" s="79" t="s">
        <v>135</v>
      </c>
      <c r="G567" s="79" t="s">
        <v>2661</v>
      </c>
      <c r="H567" s="79" t="s">
        <v>2630</v>
      </c>
      <c r="I567" s="79" t="s">
        <v>1929</v>
      </c>
      <c r="J567" s="80">
        <v>17.66</v>
      </c>
      <c r="K567" s="80">
        <v>314.06</v>
      </c>
      <c r="L567" s="80" t="s">
        <v>1382</v>
      </c>
      <c r="M567" s="80" t="s">
        <v>1383</v>
      </c>
      <c r="N567" s="80" t="s">
        <v>523</v>
      </c>
      <c r="O567" s="80">
        <v>317.94</v>
      </c>
      <c r="P567" s="80">
        <v>112.09</v>
      </c>
      <c r="Q567" s="80">
        <f t="shared" si="30"/>
        <v>430.03</v>
      </c>
      <c r="R567" s="80">
        <v>434.13</v>
      </c>
      <c r="S567" s="80">
        <v>17.66</v>
      </c>
      <c r="T567" s="85" t="s">
        <v>142</v>
      </c>
      <c r="U567" s="85" t="s">
        <v>143</v>
      </c>
    </row>
    <row r="568" spans="1:21" ht="120">
      <c r="A568" s="77">
        <v>2</v>
      </c>
      <c r="B568" s="79" t="s">
        <v>202</v>
      </c>
      <c r="C568" s="77" t="s">
        <v>22</v>
      </c>
      <c r="D568" s="37" t="s">
        <v>2674</v>
      </c>
      <c r="E568" s="60" t="s">
        <v>2675</v>
      </c>
      <c r="F568" s="79" t="s">
        <v>135</v>
      </c>
      <c r="G568" s="79" t="s">
        <v>2669</v>
      </c>
      <c r="H568" s="79" t="s">
        <v>2630</v>
      </c>
      <c r="I568" s="79" t="s">
        <v>2676</v>
      </c>
      <c r="J568" s="80">
        <v>4.03</v>
      </c>
      <c r="K568" s="80">
        <v>39.99</v>
      </c>
      <c r="L568" s="80" t="s">
        <v>188</v>
      </c>
      <c r="M568" s="80" t="s">
        <v>189</v>
      </c>
      <c r="N568" s="80" t="s">
        <v>2649</v>
      </c>
      <c r="O568" s="80">
        <v>30.13</v>
      </c>
      <c r="P568" s="80">
        <v>3.72</v>
      </c>
      <c r="Q568" s="80">
        <f t="shared" si="30"/>
        <v>33.85</v>
      </c>
      <c r="R568" s="80">
        <v>41.21</v>
      </c>
      <c r="S568" s="80">
        <v>4.03</v>
      </c>
      <c r="T568" s="85" t="s">
        <v>142</v>
      </c>
      <c r="U568" s="85" t="s">
        <v>1686</v>
      </c>
    </row>
    <row r="569" spans="1:21" ht="75">
      <c r="A569" s="77">
        <v>3</v>
      </c>
      <c r="B569" s="79" t="s">
        <v>202</v>
      </c>
      <c r="C569" s="77" t="s">
        <v>22</v>
      </c>
      <c r="D569" s="37" t="s">
        <v>2677</v>
      </c>
      <c r="E569" s="60" t="s">
        <v>2678</v>
      </c>
      <c r="F569" s="79" t="s">
        <v>135</v>
      </c>
      <c r="G569" s="79" t="s">
        <v>2669</v>
      </c>
      <c r="H569" s="79" t="s">
        <v>2630</v>
      </c>
      <c r="I569" s="79" t="s">
        <v>2489</v>
      </c>
      <c r="J569" s="80">
        <v>8.8</v>
      </c>
      <c r="K569" s="80">
        <v>102.98</v>
      </c>
      <c r="L569" s="80" t="s">
        <v>2666</v>
      </c>
      <c r="M569" s="80" t="s">
        <v>1216</v>
      </c>
      <c r="N569" s="80" t="s">
        <v>538</v>
      </c>
      <c r="O569" s="80">
        <v>91.78</v>
      </c>
      <c r="P569" s="80">
        <v>13.25</v>
      </c>
      <c r="Q569" s="80">
        <f t="shared" si="30"/>
        <v>105.03</v>
      </c>
      <c r="R569" s="80">
        <v>179.01</v>
      </c>
      <c r="S569" s="80">
        <v>8.65</v>
      </c>
      <c r="T569" s="85" t="s">
        <v>2679</v>
      </c>
      <c r="U569" s="85" t="s">
        <v>143</v>
      </c>
    </row>
    <row r="570" spans="1:21" ht="105">
      <c r="A570" s="77">
        <v>5</v>
      </c>
      <c r="B570" s="79" t="s">
        <v>202</v>
      </c>
      <c r="C570" s="77" t="s">
        <v>22</v>
      </c>
      <c r="D570" s="37" t="s">
        <v>2680</v>
      </c>
      <c r="E570" s="60" t="s">
        <v>2681</v>
      </c>
      <c r="F570" s="79" t="s">
        <v>135</v>
      </c>
      <c r="G570" s="79" t="s">
        <v>2635</v>
      </c>
      <c r="H570" s="79" t="s">
        <v>2630</v>
      </c>
      <c r="I570" s="79" t="s">
        <v>2636</v>
      </c>
      <c r="J570" s="80">
        <v>6.29</v>
      </c>
      <c r="K570" s="80">
        <v>82.47</v>
      </c>
      <c r="L570" s="80" t="s">
        <v>2682</v>
      </c>
      <c r="M570" s="80" t="s">
        <v>2683</v>
      </c>
      <c r="N570" s="80" t="s">
        <v>538</v>
      </c>
      <c r="O570" s="80">
        <v>70.1</v>
      </c>
      <c r="P570" s="80">
        <v>5.32</v>
      </c>
      <c r="Q570" s="80">
        <f>SUM(O570:P570)</f>
        <v>75.41999999999999</v>
      </c>
      <c r="R570" s="80">
        <v>277.08</v>
      </c>
      <c r="S570" s="80">
        <v>5.5</v>
      </c>
      <c r="T570" s="85" t="s">
        <v>2679</v>
      </c>
      <c r="U570" s="85" t="s">
        <v>143</v>
      </c>
    </row>
    <row r="571" spans="1:21" ht="90">
      <c r="A571" s="77">
        <v>2</v>
      </c>
      <c r="B571" s="79" t="s">
        <v>202</v>
      </c>
      <c r="C571" s="77" t="s">
        <v>22</v>
      </c>
      <c r="D571" s="37" t="s">
        <v>2684</v>
      </c>
      <c r="E571" s="60" t="s">
        <v>2685</v>
      </c>
      <c r="F571" s="79" t="s">
        <v>135</v>
      </c>
      <c r="G571" s="79" t="s">
        <v>2651</v>
      </c>
      <c r="H571" s="40" t="s">
        <v>2651</v>
      </c>
      <c r="I571" s="79" t="s">
        <v>944</v>
      </c>
      <c r="J571" s="80">
        <v>35.72</v>
      </c>
      <c r="K571" s="80">
        <v>499.95</v>
      </c>
      <c r="L571" s="80" t="s">
        <v>2686</v>
      </c>
      <c r="M571" s="80"/>
      <c r="N571" s="80" t="s">
        <v>1196</v>
      </c>
      <c r="O571" s="80">
        <v>460.45</v>
      </c>
      <c r="P571" s="80"/>
      <c r="Q571" s="80">
        <f t="shared" si="30"/>
        <v>460.45</v>
      </c>
      <c r="R571" s="80">
        <f>496.5+7.29</f>
        <v>503.79</v>
      </c>
      <c r="S571" s="80">
        <v>35.72</v>
      </c>
      <c r="T571" s="85" t="s">
        <v>142</v>
      </c>
      <c r="U571" s="85" t="s">
        <v>1686</v>
      </c>
    </row>
    <row r="572" spans="1:21" ht="180">
      <c r="A572" s="77">
        <v>3</v>
      </c>
      <c r="B572" s="79" t="s">
        <v>202</v>
      </c>
      <c r="C572" s="77" t="s">
        <v>22</v>
      </c>
      <c r="D572" s="37" t="s">
        <v>2687</v>
      </c>
      <c r="E572" s="60" t="s">
        <v>2688</v>
      </c>
      <c r="F572" s="79" t="s">
        <v>135</v>
      </c>
      <c r="G572" s="79" t="s">
        <v>2651</v>
      </c>
      <c r="H572" s="79" t="s">
        <v>2651</v>
      </c>
      <c r="I572" s="183" t="s">
        <v>1929</v>
      </c>
      <c r="J572" s="80">
        <v>19.32</v>
      </c>
      <c r="K572" s="80">
        <v>457.4</v>
      </c>
      <c r="L572" s="80" t="s">
        <v>1918</v>
      </c>
      <c r="M572" s="80" t="s">
        <v>1919</v>
      </c>
      <c r="N572" s="80" t="s">
        <v>2689</v>
      </c>
      <c r="O572" s="80">
        <v>427.25</v>
      </c>
      <c r="P572" s="80">
        <v>118.85</v>
      </c>
      <c r="Q572" s="80">
        <f t="shared" si="30"/>
        <v>546.1</v>
      </c>
      <c r="R572" s="80">
        <v>478.51</v>
      </c>
      <c r="S572" s="80">
        <v>19.32</v>
      </c>
      <c r="T572" s="85" t="s">
        <v>142</v>
      </c>
      <c r="U572" s="85" t="s">
        <v>143</v>
      </c>
    </row>
    <row r="573" spans="1:21" ht="195">
      <c r="A573" s="77">
        <v>4</v>
      </c>
      <c r="B573" s="79" t="s">
        <v>202</v>
      </c>
      <c r="C573" s="77" t="s">
        <v>22</v>
      </c>
      <c r="D573" s="37" t="s">
        <v>2690</v>
      </c>
      <c r="E573" s="60" t="s">
        <v>2691</v>
      </c>
      <c r="F573" s="79" t="s">
        <v>135</v>
      </c>
      <c r="G573" s="79" t="s">
        <v>2651</v>
      </c>
      <c r="H573" s="79" t="s">
        <v>2651</v>
      </c>
      <c r="I573" s="183"/>
      <c r="J573" s="80">
        <v>20.26</v>
      </c>
      <c r="K573" s="80">
        <v>399.43</v>
      </c>
      <c r="L573" s="80" t="s">
        <v>2692</v>
      </c>
      <c r="M573" s="80"/>
      <c r="N573" s="80" t="s">
        <v>308</v>
      </c>
      <c r="O573" s="80">
        <v>395.68</v>
      </c>
      <c r="P573" s="80"/>
      <c r="Q573" s="80">
        <f t="shared" si="30"/>
        <v>395.68</v>
      </c>
      <c r="R573" s="80">
        <f>183.56+216.53</f>
        <v>400.09000000000003</v>
      </c>
      <c r="S573" s="80">
        <v>20.26</v>
      </c>
      <c r="T573" s="85" t="s">
        <v>142</v>
      </c>
      <c r="U573" s="85" t="s">
        <v>143</v>
      </c>
    </row>
    <row r="574" spans="1:21" ht="120">
      <c r="A574" s="77">
        <v>3</v>
      </c>
      <c r="B574" s="79" t="s">
        <v>202</v>
      </c>
      <c r="C574" s="77" t="s">
        <v>22</v>
      </c>
      <c r="D574" s="37" t="s">
        <v>2693</v>
      </c>
      <c r="E574" s="184" t="s">
        <v>2694</v>
      </c>
      <c r="F574" s="79" t="s">
        <v>135</v>
      </c>
      <c r="G574" s="79" t="s">
        <v>2661</v>
      </c>
      <c r="H574" s="79" t="s">
        <v>2695</v>
      </c>
      <c r="I574" s="183" t="s">
        <v>2646</v>
      </c>
      <c r="J574" s="80">
        <v>5.05</v>
      </c>
      <c r="K574" s="80">
        <v>55.91</v>
      </c>
      <c r="L574" s="187" t="s">
        <v>541</v>
      </c>
      <c r="M574" s="187" t="s">
        <v>2485</v>
      </c>
      <c r="N574" s="80" t="s">
        <v>841</v>
      </c>
      <c r="O574" s="80">
        <v>36.93</v>
      </c>
      <c r="P574" s="80">
        <v>23.63</v>
      </c>
      <c r="Q574" s="80">
        <f>SUM(O574:P574)</f>
        <v>60.56</v>
      </c>
      <c r="R574" s="80">
        <v>99.37</v>
      </c>
      <c r="S574" s="80">
        <v>5.05</v>
      </c>
      <c r="T574" s="85" t="s">
        <v>142</v>
      </c>
      <c r="U574" s="85" t="s">
        <v>1686</v>
      </c>
    </row>
    <row r="575" spans="1:21" ht="105">
      <c r="A575" s="77">
        <v>4</v>
      </c>
      <c r="B575" s="79" t="s">
        <v>202</v>
      </c>
      <c r="C575" s="77" t="s">
        <v>22</v>
      </c>
      <c r="D575" s="37" t="s">
        <v>2696</v>
      </c>
      <c r="E575" s="185"/>
      <c r="F575" s="79" t="s">
        <v>135</v>
      </c>
      <c r="G575" s="79" t="s">
        <v>2661</v>
      </c>
      <c r="H575" s="40" t="s">
        <v>2651</v>
      </c>
      <c r="I575" s="183"/>
      <c r="J575" s="80">
        <v>4.03</v>
      </c>
      <c r="K575" s="80">
        <v>68.19</v>
      </c>
      <c r="L575" s="187"/>
      <c r="M575" s="187"/>
      <c r="N575" s="80" t="s">
        <v>841</v>
      </c>
      <c r="O575" s="80">
        <v>45.15</v>
      </c>
      <c r="P575" s="80"/>
      <c r="Q575" s="80">
        <f t="shared" si="30"/>
        <v>45.15</v>
      </c>
      <c r="R575" s="80">
        <v>0</v>
      </c>
      <c r="S575" s="80">
        <v>4.03</v>
      </c>
      <c r="T575" s="85" t="s">
        <v>142</v>
      </c>
      <c r="U575" s="85" t="s">
        <v>1686</v>
      </c>
    </row>
    <row r="576" spans="1:21" ht="75">
      <c r="A576" s="77">
        <v>6</v>
      </c>
      <c r="B576" s="79" t="s">
        <v>202</v>
      </c>
      <c r="C576" s="77" t="s">
        <v>22</v>
      </c>
      <c r="D576" s="37" t="s">
        <v>2697</v>
      </c>
      <c r="E576" s="60" t="s">
        <v>2698</v>
      </c>
      <c r="F576" s="79" t="s">
        <v>135</v>
      </c>
      <c r="G576" s="79" t="s">
        <v>2635</v>
      </c>
      <c r="H576" s="79" t="s">
        <v>2630</v>
      </c>
      <c r="I576" s="79" t="s">
        <v>2646</v>
      </c>
      <c r="J576" s="80">
        <v>7</v>
      </c>
      <c r="K576" s="80">
        <v>100.75</v>
      </c>
      <c r="L576" s="80" t="s">
        <v>188</v>
      </c>
      <c r="M576" s="80" t="s">
        <v>189</v>
      </c>
      <c r="N576" s="80" t="s">
        <v>2649</v>
      </c>
      <c r="O576" s="80">
        <v>74.64</v>
      </c>
      <c r="P576" s="80"/>
      <c r="Q576" s="80">
        <f t="shared" si="30"/>
        <v>74.64</v>
      </c>
      <c r="R576" s="80">
        <v>92.98</v>
      </c>
      <c r="S576" s="80">
        <v>7</v>
      </c>
      <c r="T576" s="85" t="s">
        <v>142</v>
      </c>
      <c r="U576" s="85" t="s">
        <v>1686</v>
      </c>
    </row>
    <row r="577" spans="1:21" ht="150">
      <c r="A577" s="77">
        <v>7</v>
      </c>
      <c r="B577" s="79" t="s">
        <v>202</v>
      </c>
      <c r="C577" s="77" t="s">
        <v>22</v>
      </c>
      <c r="D577" s="37" t="s">
        <v>2699</v>
      </c>
      <c r="E577" s="184" t="s">
        <v>2700</v>
      </c>
      <c r="F577" s="79" t="s">
        <v>135</v>
      </c>
      <c r="G577" s="79" t="s">
        <v>2635</v>
      </c>
      <c r="H577" s="79" t="s">
        <v>2630</v>
      </c>
      <c r="I577" s="183" t="s">
        <v>2646</v>
      </c>
      <c r="J577" s="80">
        <v>5</v>
      </c>
      <c r="K577" s="80">
        <v>71.54</v>
      </c>
      <c r="L577" s="187" t="s">
        <v>541</v>
      </c>
      <c r="M577" s="187" t="s">
        <v>2485</v>
      </c>
      <c r="N577" s="80" t="s">
        <v>1967</v>
      </c>
      <c r="O577" s="80">
        <v>58.43</v>
      </c>
      <c r="P577" s="187">
        <v>30</v>
      </c>
      <c r="Q577" s="80">
        <f t="shared" si="30"/>
        <v>88.43</v>
      </c>
      <c r="R577" s="80">
        <v>78.28</v>
      </c>
      <c r="S577" s="80">
        <v>5</v>
      </c>
      <c r="T577" s="85" t="s">
        <v>142</v>
      </c>
      <c r="U577" s="85" t="s">
        <v>1686</v>
      </c>
    </row>
    <row r="578" spans="1:21" ht="135">
      <c r="A578" s="77">
        <v>8</v>
      </c>
      <c r="B578" s="79" t="s">
        <v>202</v>
      </c>
      <c r="C578" s="77" t="s">
        <v>22</v>
      </c>
      <c r="D578" s="37" t="s">
        <v>2701</v>
      </c>
      <c r="E578" s="185"/>
      <c r="F578" s="79" t="s">
        <v>135</v>
      </c>
      <c r="G578" s="79" t="s">
        <v>2635</v>
      </c>
      <c r="H578" s="79" t="s">
        <v>2630</v>
      </c>
      <c r="I578" s="183"/>
      <c r="J578" s="80">
        <v>3</v>
      </c>
      <c r="K578" s="80">
        <v>39.68</v>
      </c>
      <c r="L578" s="187"/>
      <c r="M578" s="187"/>
      <c r="N578" s="80" t="s">
        <v>841</v>
      </c>
      <c r="O578" s="80">
        <v>32.75</v>
      </c>
      <c r="P578" s="187"/>
      <c r="Q578" s="80">
        <f t="shared" si="30"/>
        <v>32.75</v>
      </c>
      <c r="R578" s="80">
        <v>38.02</v>
      </c>
      <c r="S578" s="80">
        <v>3</v>
      </c>
      <c r="T578" s="85" t="s">
        <v>142</v>
      </c>
      <c r="U578" s="85" t="s">
        <v>1686</v>
      </c>
    </row>
    <row r="579" spans="1:21" ht="71.25">
      <c r="A579" s="77">
        <v>4</v>
      </c>
      <c r="B579" s="79" t="s">
        <v>221</v>
      </c>
      <c r="C579" s="77" t="s">
        <v>22</v>
      </c>
      <c r="D579" s="36" t="s">
        <v>2702</v>
      </c>
      <c r="E579" s="60" t="s">
        <v>2616</v>
      </c>
      <c r="F579" s="79" t="s">
        <v>135</v>
      </c>
      <c r="G579" s="52" t="s">
        <v>2669</v>
      </c>
      <c r="H579" s="52" t="s">
        <v>2630</v>
      </c>
      <c r="I579" s="79" t="s">
        <v>2676</v>
      </c>
      <c r="J579" s="80">
        <v>2.75</v>
      </c>
      <c r="K579" s="80">
        <v>48.55</v>
      </c>
      <c r="L579" s="80" t="s">
        <v>1209</v>
      </c>
      <c r="M579" s="80" t="s">
        <v>1210</v>
      </c>
      <c r="N579" s="80" t="s">
        <v>1196</v>
      </c>
      <c r="O579" s="80">
        <v>46.55</v>
      </c>
      <c r="P579" s="80">
        <v>4.11</v>
      </c>
      <c r="Q579" s="80">
        <f aca="true" t="shared" si="31" ref="Q579:Q585">SUM(O579:P579)</f>
        <v>50.66</v>
      </c>
      <c r="R579" s="80">
        <v>51.63</v>
      </c>
      <c r="S579" s="80">
        <v>2.75</v>
      </c>
      <c r="T579" s="83" t="s">
        <v>142</v>
      </c>
      <c r="U579" s="85" t="s">
        <v>143</v>
      </c>
    </row>
    <row r="580" spans="1:21" ht="71.25">
      <c r="A580" s="77">
        <v>5</v>
      </c>
      <c r="B580" s="79" t="s">
        <v>221</v>
      </c>
      <c r="C580" s="77" t="s">
        <v>22</v>
      </c>
      <c r="D580" s="36" t="s">
        <v>2703</v>
      </c>
      <c r="E580" s="60" t="s">
        <v>2621</v>
      </c>
      <c r="F580" s="79" t="s">
        <v>135</v>
      </c>
      <c r="G580" s="52" t="s">
        <v>2669</v>
      </c>
      <c r="H580" s="52" t="s">
        <v>2630</v>
      </c>
      <c r="I580" s="79" t="s">
        <v>2646</v>
      </c>
      <c r="J580" s="80">
        <v>3</v>
      </c>
      <c r="K580" s="80">
        <v>50.38</v>
      </c>
      <c r="L580" s="80" t="s">
        <v>1209</v>
      </c>
      <c r="M580" s="80" t="s">
        <v>1210</v>
      </c>
      <c r="N580" s="80" t="s">
        <v>1196</v>
      </c>
      <c r="O580" s="80">
        <v>46.57</v>
      </c>
      <c r="P580" s="80">
        <v>23.98</v>
      </c>
      <c r="Q580" s="80">
        <f t="shared" si="31"/>
        <v>70.55</v>
      </c>
      <c r="R580" s="80">
        <v>77.87</v>
      </c>
      <c r="S580" s="80">
        <v>3</v>
      </c>
      <c r="T580" s="83" t="s">
        <v>142</v>
      </c>
      <c r="U580" s="85" t="s">
        <v>143</v>
      </c>
    </row>
    <row r="581" spans="1:21" ht="71.25">
      <c r="A581" s="77">
        <v>5</v>
      </c>
      <c r="B581" s="79" t="s">
        <v>221</v>
      </c>
      <c r="C581" s="77" t="s">
        <v>22</v>
      </c>
      <c r="D581" s="36" t="s">
        <v>2704</v>
      </c>
      <c r="E581" s="60" t="s">
        <v>2624</v>
      </c>
      <c r="F581" s="79" t="s">
        <v>135</v>
      </c>
      <c r="G581" s="52" t="s">
        <v>2661</v>
      </c>
      <c r="H581" s="52" t="s">
        <v>2630</v>
      </c>
      <c r="I581" s="79" t="s">
        <v>2705</v>
      </c>
      <c r="J581" s="80">
        <v>12.86</v>
      </c>
      <c r="K581" s="80">
        <v>210.28</v>
      </c>
      <c r="L581" s="80" t="s">
        <v>2706</v>
      </c>
      <c r="M581" s="80" t="s">
        <v>2707</v>
      </c>
      <c r="N581" s="80" t="s">
        <v>201</v>
      </c>
      <c r="O581" s="80">
        <v>236.94</v>
      </c>
      <c r="P581" s="80"/>
      <c r="Q581" s="80">
        <f t="shared" si="31"/>
        <v>236.94</v>
      </c>
      <c r="R581" s="80">
        <v>241.76</v>
      </c>
      <c r="S581" s="80">
        <v>12.86</v>
      </c>
      <c r="T581" s="83" t="s">
        <v>142</v>
      </c>
      <c r="U581" s="85" t="s">
        <v>143</v>
      </c>
    </row>
    <row r="582" spans="1:21" ht="71.25">
      <c r="A582" s="77">
        <v>9</v>
      </c>
      <c r="B582" s="79" t="s">
        <v>221</v>
      </c>
      <c r="C582" s="77" t="s">
        <v>22</v>
      </c>
      <c r="D582" s="36" t="s">
        <v>2708</v>
      </c>
      <c r="E582" s="60" t="s">
        <v>2627</v>
      </c>
      <c r="F582" s="79" t="s">
        <v>135</v>
      </c>
      <c r="G582" s="52" t="s">
        <v>2635</v>
      </c>
      <c r="H582" s="52" t="s">
        <v>2630</v>
      </c>
      <c r="I582" s="79" t="s">
        <v>2676</v>
      </c>
      <c r="J582" s="80">
        <v>3.65</v>
      </c>
      <c r="K582" s="80">
        <v>89.53</v>
      </c>
      <c r="L582" s="80" t="s">
        <v>2709</v>
      </c>
      <c r="M582" s="80" t="s">
        <v>2710</v>
      </c>
      <c r="N582" s="80" t="s">
        <v>230</v>
      </c>
      <c r="O582" s="80">
        <v>86.31</v>
      </c>
      <c r="P582" s="80"/>
      <c r="Q582" s="80">
        <f t="shared" si="31"/>
        <v>86.31</v>
      </c>
      <c r="R582" s="80">
        <v>92.24</v>
      </c>
      <c r="S582" s="80">
        <v>3.65</v>
      </c>
      <c r="T582" s="83" t="s">
        <v>142</v>
      </c>
      <c r="U582" s="85" t="s">
        <v>1188</v>
      </c>
    </row>
    <row r="583" spans="1:21" ht="85.5">
      <c r="A583" s="77">
        <v>10</v>
      </c>
      <c r="B583" s="79" t="s">
        <v>221</v>
      </c>
      <c r="C583" s="77" t="s">
        <v>22</v>
      </c>
      <c r="D583" s="36" t="s">
        <v>2711</v>
      </c>
      <c r="E583" s="60" t="s">
        <v>2712</v>
      </c>
      <c r="F583" s="79" t="s">
        <v>135</v>
      </c>
      <c r="G583" s="52" t="s">
        <v>2635</v>
      </c>
      <c r="H583" s="52" t="s">
        <v>2630</v>
      </c>
      <c r="I583" s="79" t="s">
        <v>2646</v>
      </c>
      <c r="J583" s="80">
        <v>11</v>
      </c>
      <c r="K583" s="80">
        <v>272.9</v>
      </c>
      <c r="L583" s="80" t="s">
        <v>2713</v>
      </c>
      <c r="M583" s="80" t="s">
        <v>2714</v>
      </c>
      <c r="N583" s="80" t="s">
        <v>201</v>
      </c>
      <c r="O583" s="80">
        <v>272.76</v>
      </c>
      <c r="P583" s="80">
        <v>84.03</v>
      </c>
      <c r="Q583" s="80">
        <f t="shared" si="31"/>
        <v>356.78999999999996</v>
      </c>
      <c r="R583" s="80">
        <f>356.63+10.61</f>
        <v>367.24</v>
      </c>
      <c r="S583" s="80">
        <v>11</v>
      </c>
      <c r="T583" s="83" t="s">
        <v>142</v>
      </c>
      <c r="U583" s="85" t="s">
        <v>143</v>
      </c>
    </row>
    <row r="584" spans="1:21" ht="99.75">
      <c r="A584" s="77">
        <v>6</v>
      </c>
      <c r="B584" s="79" t="s">
        <v>221</v>
      </c>
      <c r="C584" s="77" t="s">
        <v>22</v>
      </c>
      <c r="D584" s="36" t="s">
        <v>2715</v>
      </c>
      <c r="E584" s="60" t="s">
        <v>2668</v>
      </c>
      <c r="F584" s="79" t="s">
        <v>135</v>
      </c>
      <c r="G584" s="52" t="s">
        <v>2661</v>
      </c>
      <c r="H584" s="52" t="s">
        <v>2630</v>
      </c>
      <c r="I584" s="79" t="s">
        <v>2489</v>
      </c>
      <c r="J584" s="80">
        <v>6</v>
      </c>
      <c r="K584" s="80">
        <v>165.62</v>
      </c>
      <c r="L584" s="80" t="s">
        <v>2709</v>
      </c>
      <c r="M584" s="80" t="s">
        <v>2710</v>
      </c>
      <c r="N584" s="80" t="s">
        <v>1967</v>
      </c>
      <c r="O584" s="80">
        <v>190.32</v>
      </c>
      <c r="P584" s="80"/>
      <c r="Q584" s="80">
        <f t="shared" si="31"/>
        <v>190.32</v>
      </c>
      <c r="R584" s="80">
        <f>183.64+0.1</f>
        <v>183.73999999999998</v>
      </c>
      <c r="S584" s="80">
        <v>6</v>
      </c>
      <c r="T584" s="83" t="s">
        <v>142</v>
      </c>
      <c r="U584" s="85" t="s">
        <v>143</v>
      </c>
    </row>
    <row r="585" spans="1:21" ht="85.5">
      <c r="A585" s="77">
        <v>7</v>
      </c>
      <c r="B585" s="79" t="s">
        <v>221</v>
      </c>
      <c r="C585" s="77" t="s">
        <v>22</v>
      </c>
      <c r="D585" s="36" t="s">
        <v>2716</v>
      </c>
      <c r="E585" s="60" t="s">
        <v>2717</v>
      </c>
      <c r="F585" s="79" t="s">
        <v>135</v>
      </c>
      <c r="G585" s="52" t="s">
        <v>2661</v>
      </c>
      <c r="H585" s="40" t="s">
        <v>2695</v>
      </c>
      <c r="I585" s="79" t="s">
        <v>2676</v>
      </c>
      <c r="J585" s="80">
        <v>6.07</v>
      </c>
      <c r="K585" s="80">
        <v>97.66</v>
      </c>
      <c r="L585" s="80" t="s">
        <v>2718</v>
      </c>
      <c r="M585" s="80" t="s">
        <v>2719</v>
      </c>
      <c r="N585" s="80" t="s">
        <v>526</v>
      </c>
      <c r="O585" s="80">
        <v>100.54</v>
      </c>
      <c r="P585" s="80"/>
      <c r="Q585" s="80">
        <f t="shared" si="31"/>
        <v>100.54</v>
      </c>
      <c r="R585" s="80">
        <f>100.7+0.34</f>
        <v>101.04</v>
      </c>
      <c r="S585" s="80">
        <v>6.07</v>
      </c>
      <c r="T585" s="83" t="s">
        <v>142</v>
      </c>
      <c r="U585" s="85" t="s">
        <v>143</v>
      </c>
    </row>
    <row r="586" spans="1:21" ht="71.25">
      <c r="A586" s="77">
        <v>6</v>
      </c>
      <c r="B586" s="79" t="s">
        <v>244</v>
      </c>
      <c r="C586" s="77" t="s">
        <v>22</v>
      </c>
      <c r="D586" s="36" t="s">
        <v>2722</v>
      </c>
      <c r="E586" s="60" t="s">
        <v>2621</v>
      </c>
      <c r="F586" s="79" t="s">
        <v>135</v>
      </c>
      <c r="G586" s="53" t="s">
        <v>2669</v>
      </c>
      <c r="H586" s="53" t="s">
        <v>2630</v>
      </c>
      <c r="I586" s="53" t="s">
        <v>952</v>
      </c>
      <c r="J586" s="80">
        <v>6.3</v>
      </c>
      <c r="K586" s="80">
        <v>143.66</v>
      </c>
      <c r="L586" s="80" t="s">
        <v>2723</v>
      </c>
      <c r="M586" s="80" t="s">
        <v>2724</v>
      </c>
      <c r="N586" s="80" t="s">
        <v>1201</v>
      </c>
      <c r="O586" s="80">
        <v>116.79</v>
      </c>
      <c r="P586" s="80">
        <v>23.49</v>
      </c>
      <c r="Q586" s="80">
        <f>SUM(O586:P586)</f>
        <v>140.28</v>
      </c>
      <c r="R586" s="80">
        <v>137.72</v>
      </c>
      <c r="S586" s="80">
        <v>5.85</v>
      </c>
      <c r="T586" s="85" t="s">
        <v>142</v>
      </c>
      <c r="U586" s="83" t="s">
        <v>143</v>
      </c>
    </row>
    <row r="587" spans="1:21" ht="85.5">
      <c r="A587" s="77">
        <v>7</v>
      </c>
      <c r="B587" s="79" t="s">
        <v>244</v>
      </c>
      <c r="C587" s="77" t="s">
        <v>22</v>
      </c>
      <c r="D587" s="36" t="s">
        <v>2725</v>
      </c>
      <c r="E587" s="60" t="s">
        <v>2624</v>
      </c>
      <c r="F587" s="79" t="s">
        <v>135</v>
      </c>
      <c r="G587" s="53" t="s">
        <v>2669</v>
      </c>
      <c r="H587" s="53" t="s">
        <v>2630</v>
      </c>
      <c r="I587" s="53" t="s">
        <v>2726</v>
      </c>
      <c r="J587" s="114">
        <v>4.925</v>
      </c>
      <c r="K587" s="80">
        <v>119.17</v>
      </c>
      <c r="L587" s="80" t="s">
        <v>2727</v>
      </c>
      <c r="M587" s="80" t="s">
        <v>2728</v>
      </c>
      <c r="N587" s="80" t="s">
        <v>249</v>
      </c>
      <c r="O587" s="80">
        <v>97.5</v>
      </c>
      <c r="P587" s="80">
        <v>13.28</v>
      </c>
      <c r="Q587" s="80">
        <f>SUM(O587:P587)</f>
        <v>110.78</v>
      </c>
      <c r="R587" s="80">
        <v>107.25</v>
      </c>
      <c r="S587" s="80">
        <v>4.93</v>
      </c>
      <c r="T587" s="85" t="s">
        <v>142</v>
      </c>
      <c r="U587" s="83" t="s">
        <v>143</v>
      </c>
    </row>
    <row r="588" spans="1:21" ht="85.5">
      <c r="A588" s="77">
        <v>8</v>
      </c>
      <c r="B588" s="79" t="s">
        <v>244</v>
      </c>
      <c r="C588" s="77" t="s">
        <v>22</v>
      </c>
      <c r="D588" s="36" t="s">
        <v>2729</v>
      </c>
      <c r="E588" s="60" t="s">
        <v>2627</v>
      </c>
      <c r="F588" s="79" t="s">
        <v>135</v>
      </c>
      <c r="G588" s="53" t="s">
        <v>2669</v>
      </c>
      <c r="H588" s="53" t="s">
        <v>2630</v>
      </c>
      <c r="I588" s="53" t="s">
        <v>2730</v>
      </c>
      <c r="J588" s="80">
        <v>10</v>
      </c>
      <c r="K588" s="80">
        <v>349.6</v>
      </c>
      <c r="L588" s="80" t="s">
        <v>2731</v>
      </c>
      <c r="M588" s="80" t="s">
        <v>2732</v>
      </c>
      <c r="N588" s="80" t="s">
        <v>736</v>
      </c>
      <c r="O588" s="80">
        <v>339.97</v>
      </c>
      <c r="P588" s="80"/>
      <c r="Q588" s="80">
        <f>SUM(O588:P588)</f>
        <v>339.97</v>
      </c>
      <c r="R588" s="80">
        <v>304.36</v>
      </c>
      <c r="S588" s="80">
        <v>9.75</v>
      </c>
      <c r="T588" s="85" t="s">
        <v>142</v>
      </c>
      <c r="U588" s="83" t="s">
        <v>143</v>
      </c>
    </row>
    <row r="589" spans="1:21" ht="114">
      <c r="A589" s="77">
        <v>2</v>
      </c>
      <c r="B589" s="79" t="s">
        <v>244</v>
      </c>
      <c r="C589" s="77" t="s">
        <v>22</v>
      </c>
      <c r="D589" s="36" t="s">
        <v>2741</v>
      </c>
      <c r="E589" s="60" t="s">
        <v>2717</v>
      </c>
      <c r="F589" s="79" t="s">
        <v>135</v>
      </c>
      <c r="G589" s="53" t="s">
        <v>2632</v>
      </c>
      <c r="H589" s="53" t="s">
        <v>2617</v>
      </c>
      <c r="I589" s="53" t="s">
        <v>918</v>
      </c>
      <c r="J589" s="80">
        <v>5.75</v>
      </c>
      <c r="K589" s="80">
        <v>188.07</v>
      </c>
      <c r="L589" s="80" t="s">
        <v>2742</v>
      </c>
      <c r="M589" s="80" t="s">
        <v>2743</v>
      </c>
      <c r="N589" s="80" t="s">
        <v>308</v>
      </c>
      <c r="O589" s="80">
        <v>140.39</v>
      </c>
      <c r="P589" s="80"/>
      <c r="Q589" s="80">
        <f>SUM(O589:P589)</f>
        <v>140.39</v>
      </c>
      <c r="R589" s="80">
        <v>119.17</v>
      </c>
      <c r="S589" s="80">
        <v>5.75</v>
      </c>
      <c r="T589" s="85" t="s">
        <v>142</v>
      </c>
      <c r="U589" s="83" t="s">
        <v>1188</v>
      </c>
    </row>
    <row r="590" spans="1:21" ht="105">
      <c r="A590" s="77">
        <v>8</v>
      </c>
      <c r="B590" s="79" t="s">
        <v>279</v>
      </c>
      <c r="C590" s="77" t="s">
        <v>22</v>
      </c>
      <c r="D590" s="37" t="s">
        <v>2744</v>
      </c>
      <c r="E590" s="60" t="s">
        <v>2616</v>
      </c>
      <c r="F590" s="79" t="s">
        <v>135</v>
      </c>
      <c r="G590" s="79" t="s">
        <v>2661</v>
      </c>
      <c r="H590" s="40" t="s">
        <v>2695</v>
      </c>
      <c r="I590" s="79" t="s">
        <v>2745</v>
      </c>
      <c r="J590" s="116">
        <v>7.78</v>
      </c>
      <c r="K590" s="80">
        <v>276.46</v>
      </c>
      <c r="L590" s="79" t="s">
        <v>2746</v>
      </c>
      <c r="M590" s="79" t="s">
        <v>216</v>
      </c>
      <c r="N590" s="79"/>
      <c r="O590" s="80">
        <v>216.32</v>
      </c>
      <c r="P590" s="80"/>
      <c r="Q590" s="80">
        <f aca="true" t="shared" si="32" ref="Q590:Q595">SUM(O590:P590)</f>
        <v>216.32</v>
      </c>
      <c r="R590" s="80">
        <f>194.27+16.35</f>
        <v>210.62</v>
      </c>
      <c r="S590" s="80">
        <v>7.78</v>
      </c>
      <c r="T590" s="83" t="s">
        <v>142</v>
      </c>
      <c r="U590" s="83" t="s">
        <v>143</v>
      </c>
    </row>
    <row r="591" spans="1:21" ht="120">
      <c r="A591" s="77">
        <v>9</v>
      </c>
      <c r="B591" s="79" t="s">
        <v>279</v>
      </c>
      <c r="C591" s="77" t="s">
        <v>22</v>
      </c>
      <c r="D591" s="37" t="s">
        <v>2747</v>
      </c>
      <c r="E591" s="60" t="s">
        <v>2621</v>
      </c>
      <c r="F591" s="79" t="s">
        <v>135</v>
      </c>
      <c r="G591" s="79" t="s">
        <v>2669</v>
      </c>
      <c r="H591" s="79" t="s">
        <v>2630</v>
      </c>
      <c r="I591" s="79" t="s">
        <v>2748</v>
      </c>
      <c r="J591" s="116">
        <v>4</v>
      </c>
      <c r="K591" s="80">
        <v>103.88</v>
      </c>
      <c r="L591" s="80" t="s">
        <v>2749</v>
      </c>
      <c r="M591" s="80" t="s">
        <v>2750</v>
      </c>
      <c r="N591" s="79" t="s">
        <v>643</v>
      </c>
      <c r="O591" s="80">
        <v>64.75</v>
      </c>
      <c r="P591" s="80"/>
      <c r="Q591" s="80">
        <f t="shared" si="32"/>
        <v>64.75</v>
      </c>
      <c r="R591" s="80">
        <v>80.55</v>
      </c>
      <c r="S591" s="80">
        <v>4</v>
      </c>
      <c r="T591" s="92" t="s">
        <v>142</v>
      </c>
      <c r="U591" s="83" t="s">
        <v>143</v>
      </c>
    </row>
    <row r="592" spans="1:21" ht="75">
      <c r="A592" s="77">
        <v>10</v>
      </c>
      <c r="B592" s="79" t="s">
        <v>279</v>
      </c>
      <c r="C592" s="77" t="s">
        <v>22</v>
      </c>
      <c r="D592" s="37" t="s">
        <v>2754</v>
      </c>
      <c r="E592" s="60" t="s">
        <v>2668</v>
      </c>
      <c r="F592" s="79" t="s">
        <v>135</v>
      </c>
      <c r="G592" s="79" t="s">
        <v>2669</v>
      </c>
      <c r="H592" s="79" t="s">
        <v>2630</v>
      </c>
      <c r="I592" s="79" t="s">
        <v>2755</v>
      </c>
      <c r="J592" s="116">
        <v>3.37</v>
      </c>
      <c r="K592" s="80">
        <v>106.78</v>
      </c>
      <c r="L592" s="79" t="s">
        <v>2756</v>
      </c>
      <c r="M592" s="79" t="s">
        <v>216</v>
      </c>
      <c r="N592" s="79"/>
      <c r="O592" s="80">
        <v>93.48</v>
      </c>
      <c r="P592" s="80"/>
      <c r="Q592" s="80">
        <f t="shared" si="32"/>
        <v>93.48</v>
      </c>
      <c r="R592" s="80">
        <v>96.69</v>
      </c>
      <c r="S592" s="80">
        <v>3.37</v>
      </c>
      <c r="T592" s="83" t="s">
        <v>142</v>
      </c>
      <c r="U592" s="83" t="s">
        <v>143</v>
      </c>
    </row>
    <row r="593" spans="1:21" ht="105">
      <c r="A593" s="77">
        <v>3</v>
      </c>
      <c r="B593" s="79" t="s">
        <v>279</v>
      </c>
      <c r="C593" s="77" t="s">
        <v>22</v>
      </c>
      <c r="D593" s="37" t="s">
        <v>2757</v>
      </c>
      <c r="E593" s="60" t="s">
        <v>2673</v>
      </c>
      <c r="F593" s="79" t="s">
        <v>135</v>
      </c>
      <c r="G593" s="79" t="s">
        <v>2632</v>
      </c>
      <c r="H593" s="79" t="s">
        <v>2617</v>
      </c>
      <c r="I593" s="79" t="s">
        <v>2758</v>
      </c>
      <c r="J593" s="116">
        <v>1.19</v>
      </c>
      <c r="K593" s="80">
        <v>22.39</v>
      </c>
      <c r="L593" s="79" t="s">
        <v>2759</v>
      </c>
      <c r="M593" s="79" t="s">
        <v>230</v>
      </c>
      <c r="N593" s="79"/>
      <c r="O593" s="80">
        <v>16.32</v>
      </c>
      <c r="P593" s="80"/>
      <c r="Q593" s="80">
        <f t="shared" si="32"/>
        <v>16.32</v>
      </c>
      <c r="R593" s="80">
        <v>12.63</v>
      </c>
      <c r="S593" s="80">
        <v>1.19</v>
      </c>
      <c r="T593" s="83" t="s">
        <v>142</v>
      </c>
      <c r="U593" s="83" t="s">
        <v>1258</v>
      </c>
    </row>
    <row r="594" spans="1:21" ht="105">
      <c r="A594" s="77">
        <v>9</v>
      </c>
      <c r="B594" s="79" t="s">
        <v>279</v>
      </c>
      <c r="C594" s="77" t="s">
        <v>22</v>
      </c>
      <c r="D594" s="37" t="s">
        <v>2762</v>
      </c>
      <c r="E594" s="60" t="s">
        <v>2681</v>
      </c>
      <c r="F594" s="80" t="s">
        <v>159</v>
      </c>
      <c r="G594" s="79" t="s">
        <v>22</v>
      </c>
      <c r="H594" s="79" t="s">
        <v>2617</v>
      </c>
      <c r="I594" s="79" t="s">
        <v>2643</v>
      </c>
      <c r="J594" s="116">
        <v>12.8</v>
      </c>
      <c r="K594" s="80">
        <v>323.03</v>
      </c>
      <c r="L594" s="80" t="s">
        <v>2269</v>
      </c>
      <c r="M594" s="80" t="s">
        <v>2346</v>
      </c>
      <c r="N594" s="79" t="s">
        <v>736</v>
      </c>
      <c r="O594" s="80">
        <v>322.5</v>
      </c>
      <c r="P594" s="80"/>
      <c r="Q594" s="80">
        <f t="shared" si="32"/>
        <v>322.5</v>
      </c>
      <c r="R594" s="80">
        <v>264.43</v>
      </c>
      <c r="S594" s="80">
        <v>12.7</v>
      </c>
      <c r="T594" s="83" t="s">
        <v>142</v>
      </c>
      <c r="U594" s="83" t="s">
        <v>261</v>
      </c>
    </row>
    <row r="595" spans="1:21" ht="120">
      <c r="A595" s="77">
        <v>5</v>
      </c>
      <c r="B595" s="79" t="s">
        <v>279</v>
      </c>
      <c r="C595" s="77" t="s">
        <v>22</v>
      </c>
      <c r="D595" s="37" t="s">
        <v>2763</v>
      </c>
      <c r="E595" s="60" t="s">
        <v>2685</v>
      </c>
      <c r="F595" s="80" t="s">
        <v>159</v>
      </c>
      <c r="G595" s="79" t="s">
        <v>2651</v>
      </c>
      <c r="H595" s="40" t="s">
        <v>2651</v>
      </c>
      <c r="I595" s="79" t="s">
        <v>906</v>
      </c>
      <c r="J595" s="116">
        <v>20</v>
      </c>
      <c r="K595" s="80">
        <v>410.66</v>
      </c>
      <c r="L595" s="79" t="s">
        <v>2501</v>
      </c>
      <c r="M595" s="79" t="s">
        <v>249</v>
      </c>
      <c r="N595" s="79"/>
      <c r="O595" s="80">
        <v>476.51</v>
      </c>
      <c r="P595" s="80"/>
      <c r="Q595" s="80">
        <f t="shared" si="32"/>
        <v>476.51</v>
      </c>
      <c r="R595" s="80">
        <f>208+223.21</f>
        <v>431.21000000000004</v>
      </c>
      <c r="S595" s="80">
        <v>19.32</v>
      </c>
      <c r="T595" s="83" t="s">
        <v>142</v>
      </c>
      <c r="U595" s="83" t="s">
        <v>261</v>
      </c>
    </row>
    <row r="596" spans="1:21" ht="90">
      <c r="A596" s="77">
        <v>11</v>
      </c>
      <c r="B596" s="79" t="s">
        <v>279</v>
      </c>
      <c r="C596" s="77" t="s">
        <v>22</v>
      </c>
      <c r="D596" s="37" t="s">
        <v>2767</v>
      </c>
      <c r="E596" s="60" t="s">
        <v>2691</v>
      </c>
      <c r="F596" s="80" t="s">
        <v>159</v>
      </c>
      <c r="G596" s="79" t="s">
        <v>2669</v>
      </c>
      <c r="H596" s="79" t="s">
        <v>2630</v>
      </c>
      <c r="I596" s="79" t="s">
        <v>2768</v>
      </c>
      <c r="J596" s="116">
        <v>8.8</v>
      </c>
      <c r="K596" s="80">
        <v>181.73</v>
      </c>
      <c r="L596" s="79" t="s">
        <v>242</v>
      </c>
      <c r="M596" s="79" t="s">
        <v>249</v>
      </c>
      <c r="N596" s="79"/>
      <c r="O596" s="80">
        <v>210.49</v>
      </c>
      <c r="P596" s="80"/>
      <c r="Q596" s="80">
        <f aca="true" t="shared" si="33" ref="Q596:Q602">SUM(O596:P596)</f>
        <v>210.49</v>
      </c>
      <c r="R596" s="80">
        <v>113.69</v>
      </c>
      <c r="S596" s="80">
        <v>8.65</v>
      </c>
      <c r="T596" s="83" t="s">
        <v>142</v>
      </c>
      <c r="U596" s="83" t="s">
        <v>261</v>
      </c>
    </row>
    <row r="597" spans="1:21" ht="105">
      <c r="A597" s="77">
        <v>11</v>
      </c>
      <c r="B597" s="79" t="s">
        <v>279</v>
      </c>
      <c r="C597" s="77" t="s">
        <v>22</v>
      </c>
      <c r="D597" s="37" t="s">
        <v>2769</v>
      </c>
      <c r="E597" s="60" t="s">
        <v>2694</v>
      </c>
      <c r="F597" s="80" t="s">
        <v>159</v>
      </c>
      <c r="G597" s="79" t="s">
        <v>2635</v>
      </c>
      <c r="H597" s="79" t="s">
        <v>2630</v>
      </c>
      <c r="I597" s="79" t="s">
        <v>2646</v>
      </c>
      <c r="J597" s="116">
        <v>4.73</v>
      </c>
      <c r="K597" s="80">
        <v>117.4</v>
      </c>
      <c r="L597" s="79" t="s">
        <v>2723</v>
      </c>
      <c r="M597" s="79" t="s">
        <v>249</v>
      </c>
      <c r="N597" s="79"/>
      <c r="O597" s="80">
        <v>133.17</v>
      </c>
      <c r="P597" s="80"/>
      <c r="Q597" s="80">
        <f t="shared" si="33"/>
        <v>133.17</v>
      </c>
      <c r="R597" s="80">
        <v>116.01</v>
      </c>
      <c r="S597" s="80">
        <v>4.73</v>
      </c>
      <c r="T597" s="83" t="s">
        <v>142</v>
      </c>
      <c r="U597" s="83" t="s">
        <v>261</v>
      </c>
    </row>
    <row r="598" spans="1:21" ht="90">
      <c r="A598" s="77">
        <v>12</v>
      </c>
      <c r="B598" s="79" t="s">
        <v>279</v>
      </c>
      <c r="C598" s="77" t="s">
        <v>22</v>
      </c>
      <c r="D598" s="37" t="s">
        <v>2770</v>
      </c>
      <c r="E598" s="60" t="s">
        <v>2698</v>
      </c>
      <c r="F598" s="80" t="s">
        <v>159</v>
      </c>
      <c r="G598" s="79" t="s">
        <v>2669</v>
      </c>
      <c r="H598" s="79" t="s">
        <v>2630</v>
      </c>
      <c r="I598" s="79" t="s">
        <v>2771</v>
      </c>
      <c r="J598" s="116">
        <v>2.75</v>
      </c>
      <c r="K598" s="80">
        <v>60.04</v>
      </c>
      <c r="L598" s="79" t="s">
        <v>242</v>
      </c>
      <c r="M598" s="79" t="s">
        <v>216</v>
      </c>
      <c r="N598" s="79"/>
      <c r="O598" s="80">
        <v>69.19</v>
      </c>
      <c r="P598" s="80"/>
      <c r="Q598" s="80">
        <f t="shared" si="33"/>
        <v>69.19</v>
      </c>
      <c r="R598" s="80">
        <v>69.15</v>
      </c>
      <c r="S598" s="80">
        <v>2.75</v>
      </c>
      <c r="T598" s="83" t="s">
        <v>142</v>
      </c>
      <c r="U598" s="83" t="s">
        <v>261</v>
      </c>
    </row>
    <row r="599" spans="1:21" ht="90">
      <c r="A599" s="77">
        <v>13</v>
      </c>
      <c r="B599" s="79" t="s">
        <v>279</v>
      </c>
      <c r="C599" s="77" t="s">
        <v>22</v>
      </c>
      <c r="D599" s="37" t="s">
        <v>2772</v>
      </c>
      <c r="E599" s="60" t="s">
        <v>2700</v>
      </c>
      <c r="F599" s="80" t="s">
        <v>159</v>
      </c>
      <c r="G599" s="79" t="s">
        <v>2669</v>
      </c>
      <c r="H599" s="79" t="s">
        <v>2630</v>
      </c>
      <c r="I599" s="79" t="s">
        <v>2773</v>
      </c>
      <c r="J599" s="116">
        <v>3</v>
      </c>
      <c r="K599" s="80">
        <v>61.94</v>
      </c>
      <c r="L599" s="79" t="s">
        <v>242</v>
      </c>
      <c r="M599" s="79" t="s">
        <v>181</v>
      </c>
      <c r="N599" s="79"/>
      <c r="O599" s="80">
        <v>71.72</v>
      </c>
      <c r="P599" s="80"/>
      <c r="Q599" s="80">
        <f t="shared" si="33"/>
        <v>71.72</v>
      </c>
      <c r="R599" s="80">
        <v>57.98</v>
      </c>
      <c r="S599" s="80">
        <v>3</v>
      </c>
      <c r="T599" s="83" t="s">
        <v>142</v>
      </c>
      <c r="U599" s="83" t="s">
        <v>261</v>
      </c>
    </row>
    <row r="600" spans="1:21" ht="120">
      <c r="A600" s="77">
        <v>12</v>
      </c>
      <c r="B600" s="79" t="s">
        <v>279</v>
      </c>
      <c r="C600" s="77" t="s">
        <v>22</v>
      </c>
      <c r="D600" s="37" t="s">
        <v>2774</v>
      </c>
      <c r="E600" s="60" t="s">
        <v>2775</v>
      </c>
      <c r="F600" s="80" t="s">
        <v>159</v>
      </c>
      <c r="G600" s="79" t="s">
        <v>2635</v>
      </c>
      <c r="H600" s="79" t="s">
        <v>2630</v>
      </c>
      <c r="I600" s="79" t="s">
        <v>2646</v>
      </c>
      <c r="J600" s="116">
        <v>3</v>
      </c>
      <c r="K600" s="80">
        <v>86.4</v>
      </c>
      <c r="L600" s="79" t="s">
        <v>2723</v>
      </c>
      <c r="M600" s="79" t="s">
        <v>533</v>
      </c>
      <c r="N600" s="79"/>
      <c r="O600" s="80">
        <v>96.33</v>
      </c>
      <c r="P600" s="80"/>
      <c r="Q600" s="80">
        <f t="shared" si="33"/>
        <v>96.33</v>
      </c>
      <c r="R600" s="80">
        <v>85.14</v>
      </c>
      <c r="S600" s="80">
        <v>3</v>
      </c>
      <c r="T600" s="83" t="s">
        <v>142</v>
      </c>
      <c r="U600" s="83" t="s">
        <v>261</v>
      </c>
    </row>
    <row r="601" spans="1:21" ht="120">
      <c r="A601" s="77">
        <v>14</v>
      </c>
      <c r="B601" s="79" t="s">
        <v>279</v>
      </c>
      <c r="C601" s="77" t="s">
        <v>22</v>
      </c>
      <c r="D601" s="37" t="s">
        <v>2776</v>
      </c>
      <c r="E601" s="60" t="s">
        <v>2777</v>
      </c>
      <c r="F601" s="80" t="s">
        <v>159</v>
      </c>
      <c r="G601" s="79" t="s">
        <v>2669</v>
      </c>
      <c r="H601" s="79" t="s">
        <v>2630</v>
      </c>
      <c r="I601" s="79" t="s">
        <v>2771</v>
      </c>
      <c r="J601" s="116">
        <v>3.8</v>
      </c>
      <c r="K601" s="80">
        <v>88.26</v>
      </c>
      <c r="L601" s="79" t="s">
        <v>2778</v>
      </c>
      <c r="M601" s="79" t="s">
        <v>613</v>
      </c>
      <c r="N601" s="79"/>
      <c r="O601" s="80">
        <v>100.23</v>
      </c>
      <c r="P601" s="80"/>
      <c r="Q601" s="80">
        <f t="shared" si="33"/>
        <v>100.23</v>
      </c>
      <c r="R601" s="80">
        <v>87.07</v>
      </c>
      <c r="S601" s="80">
        <v>3.8</v>
      </c>
      <c r="T601" s="83" t="s">
        <v>142</v>
      </c>
      <c r="U601" s="83" t="s">
        <v>261</v>
      </c>
    </row>
    <row r="602" spans="1:21" ht="90">
      <c r="A602" s="77">
        <v>9</v>
      </c>
      <c r="B602" s="79" t="s">
        <v>279</v>
      </c>
      <c r="C602" s="77" t="s">
        <v>22</v>
      </c>
      <c r="D602" s="37" t="s">
        <v>2779</v>
      </c>
      <c r="E602" s="60" t="s">
        <v>2780</v>
      </c>
      <c r="F602" s="80" t="s">
        <v>159</v>
      </c>
      <c r="G602" s="79" t="s">
        <v>2661</v>
      </c>
      <c r="H602" s="40" t="s">
        <v>2651</v>
      </c>
      <c r="I602" s="79" t="s">
        <v>2781</v>
      </c>
      <c r="J602" s="116">
        <v>3.75</v>
      </c>
      <c r="K602" s="80">
        <v>77.93</v>
      </c>
      <c r="L602" s="79" t="s">
        <v>2782</v>
      </c>
      <c r="M602" s="79" t="s">
        <v>1283</v>
      </c>
      <c r="N602" s="79"/>
      <c r="O602" s="80">
        <v>83.74</v>
      </c>
      <c r="P602" s="80"/>
      <c r="Q602" s="80">
        <f t="shared" si="33"/>
        <v>83.74</v>
      </c>
      <c r="R602" s="80">
        <v>83.27</v>
      </c>
      <c r="S602" s="80">
        <v>3.75</v>
      </c>
      <c r="T602" s="83" t="s">
        <v>142</v>
      </c>
      <c r="U602" s="83" t="s">
        <v>261</v>
      </c>
    </row>
    <row r="603" spans="1:21" ht="120">
      <c r="A603" s="77">
        <v>10</v>
      </c>
      <c r="B603" s="79" t="s">
        <v>279</v>
      </c>
      <c r="C603" s="77" t="s">
        <v>22</v>
      </c>
      <c r="D603" s="37" t="s">
        <v>2783</v>
      </c>
      <c r="E603" s="60" t="s">
        <v>2784</v>
      </c>
      <c r="F603" s="80" t="s">
        <v>159</v>
      </c>
      <c r="G603" s="79" t="s">
        <v>22</v>
      </c>
      <c r="H603" s="79" t="s">
        <v>2617</v>
      </c>
      <c r="I603" s="79" t="s">
        <v>2665</v>
      </c>
      <c r="J603" s="116">
        <v>3</v>
      </c>
      <c r="K603" s="80">
        <v>76.78</v>
      </c>
      <c r="L603" s="79" t="s">
        <v>2785</v>
      </c>
      <c r="M603" s="79" t="s">
        <v>1201</v>
      </c>
      <c r="N603" s="79"/>
      <c r="O603" s="80">
        <v>84.83</v>
      </c>
      <c r="P603" s="80"/>
      <c r="Q603" s="80">
        <f>SUM(O603:P603)</f>
        <v>84.83</v>
      </c>
      <c r="R603" s="80">
        <v>75.67</v>
      </c>
      <c r="S603" s="80">
        <v>3</v>
      </c>
      <c r="T603" s="83" t="s">
        <v>142</v>
      </c>
      <c r="U603" s="83" t="s">
        <v>261</v>
      </c>
    </row>
    <row r="604" spans="1:21" ht="90">
      <c r="A604" s="77">
        <v>13</v>
      </c>
      <c r="B604" s="79" t="s">
        <v>279</v>
      </c>
      <c r="C604" s="77" t="s">
        <v>22</v>
      </c>
      <c r="D604" s="37" t="s">
        <v>2790</v>
      </c>
      <c r="E604" s="60" t="s">
        <v>2791</v>
      </c>
      <c r="F604" s="80" t="s">
        <v>159</v>
      </c>
      <c r="G604" s="79" t="s">
        <v>2635</v>
      </c>
      <c r="H604" s="79" t="s">
        <v>2630</v>
      </c>
      <c r="I604" s="79" t="s">
        <v>2646</v>
      </c>
      <c r="J604" s="116">
        <v>7</v>
      </c>
      <c r="K604" s="80">
        <v>193.63</v>
      </c>
      <c r="L604" s="79" t="s">
        <v>2723</v>
      </c>
      <c r="M604" s="79" t="s">
        <v>249</v>
      </c>
      <c r="N604" s="79"/>
      <c r="O604" s="80">
        <v>217.12</v>
      </c>
      <c r="P604" s="80"/>
      <c r="Q604" s="80">
        <f>SUM(O604:P604)</f>
        <v>217.12</v>
      </c>
      <c r="R604" s="80">
        <v>200.9</v>
      </c>
      <c r="S604" s="80">
        <v>7</v>
      </c>
      <c r="T604" s="83" t="s">
        <v>142</v>
      </c>
      <c r="U604" s="83" t="s">
        <v>261</v>
      </c>
    </row>
    <row r="605" spans="1:21" ht="105">
      <c r="A605" s="77">
        <v>6</v>
      </c>
      <c r="B605" s="79" t="s">
        <v>279</v>
      </c>
      <c r="C605" s="77" t="s">
        <v>22</v>
      </c>
      <c r="D605" s="37" t="s">
        <v>2792</v>
      </c>
      <c r="E605" s="60" t="s">
        <v>2793</v>
      </c>
      <c r="F605" s="80" t="s">
        <v>159</v>
      </c>
      <c r="G605" s="79" t="s">
        <v>2651</v>
      </c>
      <c r="H605" s="40" t="s">
        <v>2651</v>
      </c>
      <c r="I605" s="79" t="s">
        <v>944</v>
      </c>
      <c r="J605" s="116">
        <v>17.47</v>
      </c>
      <c r="K605" s="80">
        <v>350.42</v>
      </c>
      <c r="L605" s="79" t="s">
        <v>2794</v>
      </c>
      <c r="M605" s="79" t="s">
        <v>249</v>
      </c>
      <c r="N605" s="79"/>
      <c r="O605" s="80">
        <v>349.97</v>
      </c>
      <c r="P605" s="80"/>
      <c r="Q605" s="80">
        <f>SUM(O605:P605)</f>
        <v>349.97</v>
      </c>
      <c r="R605" s="80">
        <f>169+228.68</f>
        <v>397.68</v>
      </c>
      <c r="S605" s="80">
        <v>17.47</v>
      </c>
      <c r="T605" s="83" t="s">
        <v>142</v>
      </c>
      <c r="U605" s="83" t="s">
        <v>261</v>
      </c>
    </row>
    <row r="606" spans="1:21" ht="76.5">
      <c r="A606" s="77">
        <v>4</v>
      </c>
      <c r="B606" s="79" t="s">
        <v>313</v>
      </c>
      <c r="C606" s="77" t="s">
        <v>22</v>
      </c>
      <c r="D606" s="39" t="s">
        <v>2797</v>
      </c>
      <c r="E606" s="60" t="s">
        <v>2621</v>
      </c>
      <c r="F606" s="79" t="s">
        <v>135</v>
      </c>
      <c r="G606" s="79" t="s">
        <v>2632</v>
      </c>
      <c r="H606" s="79" t="s">
        <v>2617</v>
      </c>
      <c r="I606" s="79" t="s">
        <v>2798</v>
      </c>
      <c r="J606" s="80">
        <v>7.68</v>
      </c>
      <c r="K606" s="80">
        <v>210</v>
      </c>
      <c r="L606" s="80" t="s">
        <v>2269</v>
      </c>
      <c r="M606" s="80" t="s">
        <v>2336</v>
      </c>
      <c r="N606" s="80" t="s">
        <v>348</v>
      </c>
      <c r="O606" s="80">
        <v>110.32</v>
      </c>
      <c r="P606" s="80"/>
      <c r="Q606" s="80">
        <f>SUM(O606:P606)</f>
        <v>110.32</v>
      </c>
      <c r="R606" s="80">
        <v>106.52</v>
      </c>
      <c r="S606" s="80">
        <v>8.18</v>
      </c>
      <c r="T606" s="56" t="s">
        <v>142</v>
      </c>
      <c r="U606" s="56" t="s">
        <v>143</v>
      </c>
    </row>
    <row r="607" spans="1:21" ht="63.75">
      <c r="A607" s="77">
        <v>5</v>
      </c>
      <c r="B607" s="79" t="s">
        <v>313</v>
      </c>
      <c r="C607" s="77" t="s">
        <v>22</v>
      </c>
      <c r="D607" s="39" t="s">
        <v>2799</v>
      </c>
      <c r="E607" s="60" t="s">
        <v>2624</v>
      </c>
      <c r="F607" s="79" t="s">
        <v>135</v>
      </c>
      <c r="G607" s="79" t="s">
        <v>2632</v>
      </c>
      <c r="H607" s="79" t="s">
        <v>2617</v>
      </c>
      <c r="I607" s="79" t="s">
        <v>2800</v>
      </c>
      <c r="J607" s="80">
        <v>1.41</v>
      </c>
      <c r="K607" s="80">
        <v>47.34</v>
      </c>
      <c r="L607" s="80" t="s">
        <v>2801</v>
      </c>
      <c r="M607" s="80" t="s">
        <v>2802</v>
      </c>
      <c r="N607" s="80" t="s">
        <v>308</v>
      </c>
      <c r="O607" s="80">
        <v>24.17</v>
      </c>
      <c r="P607" s="80"/>
      <c r="Q607" s="80">
        <f>SUM(O607:P607)</f>
        <v>24.17</v>
      </c>
      <c r="R607" s="80">
        <v>21.69</v>
      </c>
      <c r="S607" s="80">
        <v>1.41</v>
      </c>
      <c r="T607" s="56" t="s">
        <v>142</v>
      </c>
      <c r="U607" s="56" t="s">
        <v>2803</v>
      </c>
    </row>
    <row r="608" spans="1:21" ht="89.25">
      <c r="A608" s="77">
        <v>6</v>
      </c>
      <c r="B608" s="79" t="s">
        <v>313</v>
      </c>
      <c r="C608" s="77" t="s">
        <v>22</v>
      </c>
      <c r="D608" s="39" t="s">
        <v>2804</v>
      </c>
      <c r="E608" s="60" t="s">
        <v>2627</v>
      </c>
      <c r="F608" s="79" t="s">
        <v>135</v>
      </c>
      <c r="G608" s="79" t="s">
        <v>2632</v>
      </c>
      <c r="H608" s="79" t="s">
        <v>2617</v>
      </c>
      <c r="I608" s="79" t="s">
        <v>2798</v>
      </c>
      <c r="J608" s="80">
        <v>3.13</v>
      </c>
      <c r="K608" s="80">
        <v>100.01</v>
      </c>
      <c r="L608" s="80" t="s">
        <v>2801</v>
      </c>
      <c r="M608" s="80" t="s">
        <v>2802</v>
      </c>
      <c r="N608" s="80" t="s">
        <v>308</v>
      </c>
      <c r="O608" s="80">
        <v>53.35</v>
      </c>
      <c r="P608" s="80"/>
      <c r="Q608" s="80">
        <f>SUM(O608:P608)</f>
        <v>53.35</v>
      </c>
      <c r="R608" s="80">
        <v>45.05</v>
      </c>
      <c r="S608" s="80">
        <v>3.13</v>
      </c>
      <c r="T608" s="56" t="s">
        <v>142</v>
      </c>
      <c r="U608" s="56" t="s">
        <v>143</v>
      </c>
    </row>
    <row r="609" spans="1:21" ht="89.25">
      <c r="A609" s="77">
        <v>14</v>
      </c>
      <c r="B609" s="79" t="s">
        <v>313</v>
      </c>
      <c r="C609" s="77" t="s">
        <v>22</v>
      </c>
      <c r="D609" s="39" t="s">
        <v>2814</v>
      </c>
      <c r="E609" s="60" t="s">
        <v>2694</v>
      </c>
      <c r="F609" s="79" t="s">
        <v>159</v>
      </c>
      <c r="G609" s="79" t="s">
        <v>2635</v>
      </c>
      <c r="H609" s="79" t="s">
        <v>2630</v>
      </c>
      <c r="I609" s="79" t="s">
        <v>2815</v>
      </c>
      <c r="J609" s="80">
        <v>6.62</v>
      </c>
      <c r="K609" s="80">
        <v>287.14</v>
      </c>
      <c r="L609" s="80" t="s">
        <v>2807</v>
      </c>
      <c r="M609" s="80" t="s">
        <v>2808</v>
      </c>
      <c r="N609" s="115" t="s">
        <v>2364</v>
      </c>
      <c r="O609" s="80">
        <v>240.76</v>
      </c>
      <c r="P609" s="80"/>
      <c r="Q609" s="80">
        <f>SUM(O609:P609)</f>
        <v>240.76</v>
      </c>
      <c r="R609" s="80">
        <v>191.91</v>
      </c>
      <c r="S609" s="80">
        <v>6.48</v>
      </c>
      <c r="T609" s="56" t="s">
        <v>142</v>
      </c>
      <c r="U609" s="56" t="s">
        <v>261</v>
      </c>
    </row>
    <row r="610" spans="1:21" ht="102">
      <c r="A610" s="77">
        <v>15</v>
      </c>
      <c r="B610" s="79" t="s">
        <v>313</v>
      </c>
      <c r="C610" s="77" t="s">
        <v>22</v>
      </c>
      <c r="D610" s="39" t="s">
        <v>2816</v>
      </c>
      <c r="E610" s="60" t="s">
        <v>2698</v>
      </c>
      <c r="F610" s="79" t="s">
        <v>159</v>
      </c>
      <c r="G610" s="79" t="s">
        <v>2635</v>
      </c>
      <c r="H610" s="79" t="s">
        <v>2630</v>
      </c>
      <c r="I610" s="79" t="s">
        <v>2817</v>
      </c>
      <c r="J610" s="80">
        <v>12.2</v>
      </c>
      <c r="K610" s="80">
        <v>479.55</v>
      </c>
      <c r="L610" s="80" t="s">
        <v>565</v>
      </c>
      <c r="M610" s="80" t="s">
        <v>2818</v>
      </c>
      <c r="N610" s="115" t="s">
        <v>2364</v>
      </c>
      <c r="O610" s="80">
        <v>477.87</v>
      </c>
      <c r="P610" s="80"/>
      <c r="Q610" s="80">
        <f>SUM(O610:P610)</f>
        <v>477.87</v>
      </c>
      <c r="R610" s="80">
        <v>450.92</v>
      </c>
      <c r="S610" s="80">
        <v>12.2</v>
      </c>
      <c r="T610" s="56" t="s">
        <v>142</v>
      </c>
      <c r="U610" s="56" t="s">
        <v>261</v>
      </c>
    </row>
    <row r="611" spans="1:21" ht="102">
      <c r="A611" s="77">
        <v>7</v>
      </c>
      <c r="B611" s="79" t="s">
        <v>313</v>
      </c>
      <c r="C611" s="77" t="s">
        <v>22</v>
      </c>
      <c r="D611" s="39" t="s">
        <v>2820</v>
      </c>
      <c r="E611" s="60" t="s">
        <v>2780</v>
      </c>
      <c r="F611" s="79" t="s">
        <v>159</v>
      </c>
      <c r="G611" s="79" t="s">
        <v>2651</v>
      </c>
      <c r="H611" s="79" t="s">
        <v>2651</v>
      </c>
      <c r="I611" s="79" t="s">
        <v>2821</v>
      </c>
      <c r="J611" s="80">
        <v>7.8</v>
      </c>
      <c r="K611" s="80">
        <v>328.24</v>
      </c>
      <c r="L611" s="80" t="s">
        <v>2807</v>
      </c>
      <c r="M611" s="80" t="s">
        <v>2808</v>
      </c>
      <c r="N611" s="80" t="s">
        <v>2002</v>
      </c>
      <c r="O611" s="80">
        <v>265</v>
      </c>
      <c r="P611" s="80"/>
      <c r="Q611" s="80">
        <f>SUM(O611:P611)</f>
        <v>265</v>
      </c>
      <c r="R611" s="80">
        <f>109.3+121.9</f>
        <v>231.2</v>
      </c>
      <c r="S611" s="80">
        <v>7.8</v>
      </c>
      <c r="T611" s="56" t="s">
        <v>142</v>
      </c>
      <c r="U611" s="56" t="s">
        <v>261</v>
      </c>
    </row>
    <row r="612" spans="1:21" ht="89.25">
      <c r="A612" s="77">
        <v>16</v>
      </c>
      <c r="B612" s="79" t="s">
        <v>313</v>
      </c>
      <c r="C612" s="77" t="s">
        <v>22</v>
      </c>
      <c r="D612" s="39" t="s">
        <v>2827</v>
      </c>
      <c r="E612" s="60" t="s">
        <v>2791</v>
      </c>
      <c r="F612" s="79" t="s">
        <v>159</v>
      </c>
      <c r="G612" s="79" t="s">
        <v>2635</v>
      </c>
      <c r="H612" s="79" t="s">
        <v>2630</v>
      </c>
      <c r="I612" s="79" t="s">
        <v>2810</v>
      </c>
      <c r="J612" s="80">
        <v>4.94</v>
      </c>
      <c r="K612" s="80">
        <v>199.36</v>
      </c>
      <c r="L612" s="80" t="s">
        <v>2269</v>
      </c>
      <c r="M612" s="80" t="s">
        <v>2336</v>
      </c>
      <c r="N612" s="80" t="s">
        <v>736</v>
      </c>
      <c r="O612" s="80">
        <v>148.08</v>
      </c>
      <c r="P612" s="80"/>
      <c r="Q612" s="80">
        <f>SUM(O612:P612)</f>
        <v>148.08</v>
      </c>
      <c r="R612" s="80">
        <v>115.47</v>
      </c>
      <c r="S612" s="80">
        <v>4.94</v>
      </c>
      <c r="T612" s="57" t="s">
        <v>142</v>
      </c>
      <c r="U612" s="56" t="s">
        <v>261</v>
      </c>
    </row>
    <row r="613" spans="1:21" ht="89.25">
      <c r="A613" s="77">
        <v>17</v>
      </c>
      <c r="B613" s="79" t="s">
        <v>313</v>
      </c>
      <c r="C613" s="77" t="s">
        <v>22</v>
      </c>
      <c r="D613" s="39" t="s">
        <v>2828</v>
      </c>
      <c r="E613" s="60" t="s">
        <v>2829</v>
      </c>
      <c r="F613" s="79" t="s">
        <v>159</v>
      </c>
      <c r="G613" s="79" t="s">
        <v>2635</v>
      </c>
      <c r="H613" s="79" t="s">
        <v>2630</v>
      </c>
      <c r="I613" s="79" t="s">
        <v>2730</v>
      </c>
      <c r="J613" s="80">
        <v>5.5</v>
      </c>
      <c r="K613" s="80">
        <v>181.26</v>
      </c>
      <c r="L613" s="80" t="s">
        <v>2830</v>
      </c>
      <c r="M613" s="80" t="s">
        <v>2831</v>
      </c>
      <c r="N613" s="115" t="s">
        <v>2364</v>
      </c>
      <c r="O613" s="80">
        <v>149.46</v>
      </c>
      <c r="P613" s="80"/>
      <c r="Q613" s="80">
        <f>SUM(O613:P613)</f>
        <v>149.46</v>
      </c>
      <c r="R613" s="80">
        <f>163.14+15.51</f>
        <v>178.64999999999998</v>
      </c>
      <c r="S613" s="80">
        <v>5.5</v>
      </c>
      <c r="T613" s="56" t="s">
        <v>142</v>
      </c>
      <c r="U613" s="56" t="s">
        <v>261</v>
      </c>
    </row>
    <row r="614" spans="1:21" ht="102">
      <c r="A614" s="77">
        <v>18</v>
      </c>
      <c r="B614" s="79" t="s">
        <v>313</v>
      </c>
      <c r="C614" s="77" t="s">
        <v>22</v>
      </c>
      <c r="D614" s="39" t="s">
        <v>2832</v>
      </c>
      <c r="E614" s="60" t="s">
        <v>2833</v>
      </c>
      <c r="F614" s="79" t="s">
        <v>391</v>
      </c>
      <c r="G614" s="79" t="s">
        <v>2635</v>
      </c>
      <c r="H614" s="79" t="s">
        <v>2630</v>
      </c>
      <c r="I614" s="79" t="s">
        <v>2046</v>
      </c>
      <c r="J614" s="80">
        <v>7</v>
      </c>
      <c r="K614" s="80">
        <v>238.72</v>
      </c>
      <c r="L614" s="80" t="s">
        <v>2807</v>
      </c>
      <c r="M614" s="80" t="s">
        <v>2808</v>
      </c>
      <c r="N614" s="80" t="s">
        <v>666</v>
      </c>
      <c r="O614" s="80">
        <v>199.46</v>
      </c>
      <c r="P614" s="80"/>
      <c r="Q614" s="80">
        <f>SUM(O614:P614)</f>
        <v>199.46</v>
      </c>
      <c r="R614" s="80">
        <v>206.66</v>
      </c>
      <c r="S614" s="80">
        <v>7</v>
      </c>
      <c r="T614" s="57" t="s">
        <v>142</v>
      </c>
      <c r="U614" s="56" t="s">
        <v>261</v>
      </c>
    </row>
    <row r="615" spans="1:21" ht="140.25">
      <c r="A615" s="77">
        <v>8</v>
      </c>
      <c r="B615" s="79" t="s">
        <v>395</v>
      </c>
      <c r="C615" s="77" t="s">
        <v>22</v>
      </c>
      <c r="D615" s="136" t="s">
        <v>2834</v>
      </c>
      <c r="E615" s="60" t="s">
        <v>2616</v>
      </c>
      <c r="F615" s="60" t="s">
        <v>135</v>
      </c>
      <c r="G615" s="60" t="s">
        <v>2651</v>
      </c>
      <c r="H615" s="40" t="s">
        <v>2651</v>
      </c>
      <c r="I615" s="40" t="s">
        <v>1010</v>
      </c>
      <c r="J615" s="40">
        <v>9.25</v>
      </c>
      <c r="K615" s="40">
        <v>454.93</v>
      </c>
      <c r="L615" s="40" t="s">
        <v>278</v>
      </c>
      <c r="M615" s="40" t="s">
        <v>685</v>
      </c>
      <c r="N615" s="40" t="s">
        <v>1242</v>
      </c>
      <c r="O615" s="77"/>
      <c r="P615" s="77"/>
      <c r="Q615" s="40">
        <v>399.24</v>
      </c>
      <c r="R615" s="40">
        <v>398.58</v>
      </c>
      <c r="S615" s="40">
        <v>9.25</v>
      </c>
      <c r="T615" s="62" t="s">
        <v>397</v>
      </c>
      <c r="U615" s="77"/>
    </row>
    <row r="616" spans="1:21" ht="140.25">
      <c r="A616" s="77">
        <v>9</v>
      </c>
      <c r="B616" s="79" t="s">
        <v>395</v>
      </c>
      <c r="C616" s="77" t="s">
        <v>22</v>
      </c>
      <c r="D616" s="136" t="s">
        <v>2835</v>
      </c>
      <c r="E616" s="60" t="s">
        <v>2621</v>
      </c>
      <c r="F616" s="60" t="s">
        <v>391</v>
      </c>
      <c r="G616" s="60" t="s">
        <v>2651</v>
      </c>
      <c r="H616" s="40" t="s">
        <v>2651</v>
      </c>
      <c r="I616" s="40" t="s">
        <v>2135</v>
      </c>
      <c r="J616" s="40">
        <v>2</v>
      </c>
      <c r="K616" s="40">
        <v>135.63</v>
      </c>
      <c r="L616" s="40" t="s">
        <v>1454</v>
      </c>
      <c r="M616" s="40" t="s">
        <v>2836</v>
      </c>
      <c r="N616" s="40" t="s">
        <v>1242</v>
      </c>
      <c r="O616" s="77"/>
      <c r="P616" s="77"/>
      <c r="Q616" s="40">
        <v>133.12</v>
      </c>
      <c r="R616" s="40">
        <v>123.38</v>
      </c>
      <c r="S616" s="40">
        <v>2</v>
      </c>
      <c r="T616" s="62" t="s">
        <v>397</v>
      </c>
      <c r="U616" s="77"/>
    </row>
    <row r="617" spans="1:21" ht="76.5">
      <c r="A617" s="77">
        <v>10</v>
      </c>
      <c r="B617" s="79" t="s">
        <v>395</v>
      </c>
      <c r="C617" s="77" t="s">
        <v>22</v>
      </c>
      <c r="D617" s="136" t="s">
        <v>2837</v>
      </c>
      <c r="E617" s="60" t="s">
        <v>2624</v>
      </c>
      <c r="F617" s="60" t="s">
        <v>135</v>
      </c>
      <c r="G617" s="60" t="s">
        <v>2651</v>
      </c>
      <c r="H617" s="40" t="s">
        <v>2651</v>
      </c>
      <c r="I617" s="40" t="s">
        <v>2838</v>
      </c>
      <c r="J617" s="40">
        <v>6</v>
      </c>
      <c r="K617" s="40">
        <v>278.9</v>
      </c>
      <c r="L617" s="40" t="s">
        <v>2103</v>
      </c>
      <c r="M617" s="40" t="s">
        <v>2104</v>
      </c>
      <c r="N617" s="61" t="s">
        <v>666</v>
      </c>
      <c r="O617" s="77"/>
      <c r="P617" s="77"/>
      <c r="Q617" s="40">
        <v>244.45</v>
      </c>
      <c r="R617" s="40">
        <v>257.01</v>
      </c>
      <c r="S617" s="40">
        <v>6</v>
      </c>
      <c r="T617" s="62" t="s">
        <v>397</v>
      </c>
      <c r="U617" s="77"/>
    </row>
    <row r="618" spans="1:21" ht="140.25">
      <c r="A618" s="77">
        <v>19</v>
      </c>
      <c r="B618" s="79" t="s">
        <v>395</v>
      </c>
      <c r="C618" s="77" t="s">
        <v>22</v>
      </c>
      <c r="D618" s="130" t="s">
        <v>2839</v>
      </c>
      <c r="E618" s="60" t="s">
        <v>2627</v>
      </c>
      <c r="F618" s="60" t="s">
        <v>159</v>
      </c>
      <c r="G618" s="60" t="s">
        <v>2635</v>
      </c>
      <c r="H618" s="40" t="s">
        <v>2630</v>
      </c>
      <c r="I618" s="40" t="s">
        <v>2817</v>
      </c>
      <c r="J618" s="40">
        <v>4.5</v>
      </c>
      <c r="K618" s="40">
        <v>171.94</v>
      </c>
      <c r="L618" s="40" t="s">
        <v>2103</v>
      </c>
      <c r="M618" s="40" t="s">
        <v>2104</v>
      </c>
      <c r="N618" s="40" t="s">
        <v>405</v>
      </c>
      <c r="O618" s="77"/>
      <c r="P618" s="77"/>
      <c r="Q618" s="40">
        <v>149.57</v>
      </c>
      <c r="R618" s="40">
        <v>138.93</v>
      </c>
      <c r="S618" s="40">
        <v>4.5</v>
      </c>
      <c r="T618" s="62" t="s">
        <v>397</v>
      </c>
      <c r="U618" s="77"/>
    </row>
    <row r="619" spans="1:21" ht="89.25">
      <c r="A619" s="77">
        <v>20</v>
      </c>
      <c r="B619" s="79" t="s">
        <v>395</v>
      </c>
      <c r="C619" s="77" t="s">
        <v>22</v>
      </c>
      <c r="D619" s="130" t="s">
        <v>2840</v>
      </c>
      <c r="E619" s="60" t="s">
        <v>2712</v>
      </c>
      <c r="F619" s="60" t="s">
        <v>159</v>
      </c>
      <c r="G619" s="60" t="s">
        <v>2635</v>
      </c>
      <c r="H619" s="40" t="s">
        <v>2630</v>
      </c>
      <c r="I619" s="40" t="s">
        <v>2841</v>
      </c>
      <c r="J619" s="40">
        <v>3.3</v>
      </c>
      <c r="K619" s="40">
        <v>131.61</v>
      </c>
      <c r="L619" s="40" t="s">
        <v>278</v>
      </c>
      <c r="M619" s="40" t="s">
        <v>685</v>
      </c>
      <c r="N619" s="40" t="s">
        <v>736</v>
      </c>
      <c r="O619" s="77"/>
      <c r="P619" s="77"/>
      <c r="Q619" s="40">
        <v>118.3</v>
      </c>
      <c r="R619" s="40">
        <v>131.68</v>
      </c>
      <c r="S619" s="40">
        <v>3.3</v>
      </c>
      <c r="T619" s="62" t="s">
        <v>397</v>
      </c>
      <c r="U619" s="77"/>
    </row>
    <row r="620" spans="1:21" ht="76.5">
      <c r="A620" s="77">
        <v>10</v>
      </c>
      <c r="B620" s="79" t="s">
        <v>395</v>
      </c>
      <c r="C620" s="77" t="s">
        <v>22</v>
      </c>
      <c r="D620" s="136" t="s">
        <v>2852</v>
      </c>
      <c r="E620" s="60" t="s">
        <v>2685</v>
      </c>
      <c r="F620" s="60" t="s">
        <v>159</v>
      </c>
      <c r="G620" s="60" t="s">
        <v>2661</v>
      </c>
      <c r="H620" s="40" t="s">
        <v>2695</v>
      </c>
      <c r="I620" s="40" t="s">
        <v>2817</v>
      </c>
      <c r="J620" s="40">
        <v>7.78</v>
      </c>
      <c r="K620" s="40">
        <v>300.83</v>
      </c>
      <c r="L620" s="40" t="s">
        <v>1454</v>
      </c>
      <c r="M620" s="40" t="s">
        <v>2836</v>
      </c>
      <c r="N620" s="40" t="s">
        <v>736</v>
      </c>
      <c r="O620" s="77"/>
      <c r="P620" s="77"/>
      <c r="Q620" s="40">
        <v>268.22</v>
      </c>
      <c r="R620" s="40">
        <f>82.6+159.45</f>
        <v>242.04999999999998</v>
      </c>
      <c r="S620" s="40">
        <v>7.78</v>
      </c>
      <c r="T620" s="62" t="s">
        <v>397</v>
      </c>
      <c r="U620" s="77"/>
    </row>
    <row r="621" spans="1:21" ht="63.75">
      <c r="A621" s="77">
        <v>11</v>
      </c>
      <c r="B621" s="79" t="s">
        <v>395</v>
      </c>
      <c r="C621" s="77" t="s">
        <v>22</v>
      </c>
      <c r="D621" s="136" t="s">
        <v>2854</v>
      </c>
      <c r="E621" s="60" t="s">
        <v>2691</v>
      </c>
      <c r="F621" s="60" t="s">
        <v>159</v>
      </c>
      <c r="G621" s="60" t="s">
        <v>2651</v>
      </c>
      <c r="H621" s="40" t="s">
        <v>2651</v>
      </c>
      <c r="I621" s="40" t="s">
        <v>351</v>
      </c>
      <c r="J621" s="40">
        <v>14.89</v>
      </c>
      <c r="K621" s="40">
        <v>727.04</v>
      </c>
      <c r="L621" s="40" t="s">
        <v>2855</v>
      </c>
      <c r="M621" s="40" t="s">
        <v>1518</v>
      </c>
      <c r="N621" s="40" t="s">
        <v>1242</v>
      </c>
      <c r="O621" s="77"/>
      <c r="P621" s="77"/>
      <c r="Q621" s="40">
        <v>539.95</v>
      </c>
      <c r="R621" s="40">
        <v>504.71</v>
      </c>
      <c r="S621" s="40">
        <v>14.5</v>
      </c>
      <c r="T621" s="62" t="s">
        <v>397</v>
      </c>
      <c r="U621" s="77"/>
    </row>
    <row r="622" spans="1:21" ht="89.25">
      <c r="A622" s="77">
        <v>15</v>
      </c>
      <c r="B622" s="79" t="s">
        <v>395</v>
      </c>
      <c r="C622" s="77" t="s">
        <v>22</v>
      </c>
      <c r="D622" s="130" t="s">
        <v>2867</v>
      </c>
      <c r="E622" s="60" t="s">
        <v>2784</v>
      </c>
      <c r="F622" s="60" t="s">
        <v>159</v>
      </c>
      <c r="G622" s="60" t="s">
        <v>2669</v>
      </c>
      <c r="H622" s="40" t="s">
        <v>2630</v>
      </c>
      <c r="I622" s="40" t="s">
        <v>2851</v>
      </c>
      <c r="J622" s="40">
        <v>15</v>
      </c>
      <c r="K622" s="40">
        <v>543.89</v>
      </c>
      <c r="L622" s="40" t="s">
        <v>408</v>
      </c>
      <c r="M622" s="40" t="s">
        <v>409</v>
      </c>
      <c r="N622" s="61" t="s">
        <v>666</v>
      </c>
      <c r="O622" s="77"/>
      <c r="P622" s="77"/>
      <c r="Q622" s="40">
        <v>536.98</v>
      </c>
      <c r="R622" s="40">
        <v>525.76</v>
      </c>
      <c r="S622" s="40">
        <v>15</v>
      </c>
      <c r="T622" s="62" t="s">
        <v>397</v>
      </c>
      <c r="U622" s="77"/>
    </row>
    <row r="623" spans="1:21" ht="114.75">
      <c r="A623" s="77">
        <v>7</v>
      </c>
      <c r="B623" s="79" t="s">
        <v>395</v>
      </c>
      <c r="C623" s="77" t="s">
        <v>22</v>
      </c>
      <c r="D623" s="130" t="s">
        <v>2868</v>
      </c>
      <c r="E623" s="60" t="s">
        <v>2787</v>
      </c>
      <c r="F623" s="60" t="s">
        <v>159</v>
      </c>
      <c r="G623" s="60" t="s">
        <v>2632</v>
      </c>
      <c r="H623" s="40" t="s">
        <v>2617</v>
      </c>
      <c r="I623" s="40" t="s">
        <v>2869</v>
      </c>
      <c r="J623" s="40">
        <v>5.75</v>
      </c>
      <c r="K623" s="40">
        <v>224.87</v>
      </c>
      <c r="L623" s="40" t="s">
        <v>2870</v>
      </c>
      <c r="M623" s="40" t="s">
        <v>2871</v>
      </c>
      <c r="N623" s="40" t="s">
        <v>1013</v>
      </c>
      <c r="O623" s="77"/>
      <c r="P623" s="77"/>
      <c r="Q623" s="40">
        <v>182.4</v>
      </c>
      <c r="R623" s="40">
        <v>151.46</v>
      </c>
      <c r="S623" s="40">
        <v>5.75</v>
      </c>
      <c r="T623" s="62" t="s">
        <v>397</v>
      </c>
      <c r="U623" s="77"/>
    </row>
    <row r="624" spans="1:21" ht="89.25">
      <c r="A624" s="77">
        <v>8</v>
      </c>
      <c r="B624" s="79" t="s">
        <v>395</v>
      </c>
      <c r="C624" s="77" t="s">
        <v>22</v>
      </c>
      <c r="D624" s="130" t="s">
        <v>2872</v>
      </c>
      <c r="E624" s="60" t="s">
        <v>2791</v>
      </c>
      <c r="F624" s="60" t="s">
        <v>159</v>
      </c>
      <c r="G624" s="60" t="s">
        <v>2632</v>
      </c>
      <c r="H624" s="40" t="s">
        <v>2617</v>
      </c>
      <c r="I624" s="40" t="s">
        <v>2873</v>
      </c>
      <c r="J624" s="40">
        <v>1.85</v>
      </c>
      <c r="K624" s="40">
        <v>73.82</v>
      </c>
      <c r="L624" s="40" t="s">
        <v>278</v>
      </c>
      <c r="M624" s="40" t="s">
        <v>2874</v>
      </c>
      <c r="N624" s="40" t="s">
        <v>1242</v>
      </c>
      <c r="O624" s="77"/>
      <c r="P624" s="77"/>
      <c r="Q624" s="40">
        <v>60.29</v>
      </c>
      <c r="R624" s="40">
        <v>59.72</v>
      </c>
      <c r="S624" s="40">
        <v>1.85</v>
      </c>
      <c r="T624" s="62" t="s">
        <v>397</v>
      </c>
      <c r="U624" s="77"/>
    </row>
    <row r="625" spans="1:21" ht="63.75">
      <c r="A625" s="77">
        <v>16</v>
      </c>
      <c r="B625" s="79" t="s">
        <v>415</v>
      </c>
      <c r="C625" s="77" t="s">
        <v>22</v>
      </c>
      <c r="D625" s="64" t="s">
        <v>2882</v>
      </c>
      <c r="E625" s="60" t="s">
        <v>2621</v>
      </c>
      <c r="F625" s="60" t="s">
        <v>159</v>
      </c>
      <c r="G625" s="60" t="s">
        <v>2669</v>
      </c>
      <c r="H625" s="41" t="s">
        <v>2630</v>
      </c>
      <c r="I625" s="41" t="s">
        <v>2883</v>
      </c>
      <c r="J625" s="40">
        <v>5.85</v>
      </c>
      <c r="K625" s="40">
        <v>235.22</v>
      </c>
      <c r="L625" s="63" t="s">
        <v>2884</v>
      </c>
      <c r="M625" s="63" t="s">
        <v>2885</v>
      </c>
      <c r="N625" s="63" t="s">
        <v>405</v>
      </c>
      <c r="O625" s="77"/>
      <c r="P625" s="77"/>
      <c r="Q625" s="78">
        <v>220.18</v>
      </c>
      <c r="R625" s="78">
        <v>186.61</v>
      </c>
      <c r="S625" s="78">
        <v>5.85</v>
      </c>
      <c r="T625" s="65" t="s">
        <v>397</v>
      </c>
      <c r="U625" s="63" t="s">
        <v>141</v>
      </c>
    </row>
    <row r="626" spans="1:21" ht="57">
      <c r="A626" s="77">
        <v>1</v>
      </c>
      <c r="B626" s="79" t="s">
        <v>135</v>
      </c>
      <c r="C626" s="77" t="s">
        <v>23</v>
      </c>
      <c r="D626" s="36" t="s">
        <v>2947</v>
      </c>
      <c r="E626" s="195" t="s">
        <v>2948</v>
      </c>
      <c r="F626" s="79" t="s">
        <v>138</v>
      </c>
      <c r="G626" s="44" t="s">
        <v>2949</v>
      </c>
      <c r="H626" s="80" t="s">
        <v>1660</v>
      </c>
      <c r="I626" s="90" t="s">
        <v>141</v>
      </c>
      <c r="J626" s="86">
        <v>7.8</v>
      </c>
      <c r="K626" s="194">
        <v>148</v>
      </c>
      <c r="L626" s="58"/>
      <c r="M626" s="58"/>
      <c r="N626" s="197"/>
      <c r="O626" s="194">
        <v>147.1</v>
      </c>
      <c r="P626" s="77"/>
      <c r="Q626" s="77"/>
      <c r="R626" s="86">
        <v>103.16</v>
      </c>
      <c r="S626" s="86">
        <v>7.8</v>
      </c>
      <c r="T626" s="85" t="s">
        <v>142</v>
      </c>
      <c r="U626" s="83" t="s">
        <v>143</v>
      </c>
    </row>
    <row r="627" spans="1:21" ht="30">
      <c r="A627" s="77">
        <v>2</v>
      </c>
      <c r="B627" s="79" t="s">
        <v>135</v>
      </c>
      <c r="C627" s="77" t="s">
        <v>23</v>
      </c>
      <c r="D627" s="36" t="s">
        <v>2950</v>
      </c>
      <c r="E627" s="196"/>
      <c r="F627" s="79" t="s">
        <v>138</v>
      </c>
      <c r="G627" s="44" t="s">
        <v>2949</v>
      </c>
      <c r="H627" s="80" t="s">
        <v>1660</v>
      </c>
      <c r="I627" s="90" t="s">
        <v>141</v>
      </c>
      <c r="J627" s="86">
        <v>3</v>
      </c>
      <c r="K627" s="194"/>
      <c r="L627" s="58"/>
      <c r="M627" s="58"/>
      <c r="N627" s="183"/>
      <c r="O627" s="194"/>
      <c r="P627" s="77"/>
      <c r="Q627" s="77"/>
      <c r="R627" s="86">
        <v>39.55</v>
      </c>
      <c r="S627" s="86">
        <v>3</v>
      </c>
      <c r="T627" s="85" t="s">
        <v>142</v>
      </c>
      <c r="U627" s="83" t="s">
        <v>143</v>
      </c>
    </row>
    <row r="628" spans="1:21" ht="57">
      <c r="A628" s="77">
        <v>1</v>
      </c>
      <c r="B628" s="79" t="s">
        <v>135</v>
      </c>
      <c r="C628" s="77" t="s">
        <v>23</v>
      </c>
      <c r="D628" s="36" t="s">
        <v>2951</v>
      </c>
      <c r="E628" s="195" t="s">
        <v>2952</v>
      </c>
      <c r="F628" s="79" t="s">
        <v>138</v>
      </c>
      <c r="G628" s="44" t="s">
        <v>2953</v>
      </c>
      <c r="H628" s="80" t="s">
        <v>1660</v>
      </c>
      <c r="I628" s="199" t="s">
        <v>141</v>
      </c>
      <c r="J628" s="86">
        <v>2</v>
      </c>
      <c r="K628" s="194">
        <v>171</v>
      </c>
      <c r="L628" s="58"/>
      <c r="M628" s="58"/>
      <c r="N628" s="197"/>
      <c r="O628" s="194">
        <v>167.26</v>
      </c>
      <c r="P628" s="77"/>
      <c r="Q628" s="77"/>
      <c r="R628" s="194">
        <v>172.21</v>
      </c>
      <c r="S628" s="86">
        <v>2</v>
      </c>
      <c r="T628" s="85" t="s">
        <v>142</v>
      </c>
      <c r="U628" s="83" t="s">
        <v>143</v>
      </c>
    </row>
    <row r="629" spans="1:21" ht="114">
      <c r="A629" s="77">
        <v>1</v>
      </c>
      <c r="B629" s="79" t="s">
        <v>135</v>
      </c>
      <c r="C629" s="77" t="s">
        <v>23</v>
      </c>
      <c r="D629" s="36" t="s">
        <v>2954</v>
      </c>
      <c r="E629" s="198"/>
      <c r="F629" s="79" t="s">
        <v>138</v>
      </c>
      <c r="G629" s="44" t="s">
        <v>2955</v>
      </c>
      <c r="H629" s="80" t="s">
        <v>1660</v>
      </c>
      <c r="I629" s="199"/>
      <c r="J629" s="86">
        <v>2</v>
      </c>
      <c r="K629" s="194"/>
      <c r="L629" s="58"/>
      <c r="M629" s="58"/>
      <c r="N629" s="183"/>
      <c r="O629" s="194"/>
      <c r="P629" s="77"/>
      <c r="Q629" s="77"/>
      <c r="R629" s="194"/>
      <c r="S629" s="86">
        <v>2</v>
      </c>
      <c r="T629" s="85" t="s">
        <v>142</v>
      </c>
      <c r="U629" s="83" t="s">
        <v>143</v>
      </c>
    </row>
    <row r="630" spans="1:21" ht="57">
      <c r="A630" s="77">
        <v>3</v>
      </c>
      <c r="B630" s="79" t="s">
        <v>135</v>
      </c>
      <c r="C630" s="77" t="s">
        <v>23</v>
      </c>
      <c r="D630" s="36" t="s">
        <v>2956</v>
      </c>
      <c r="E630" s="198"/>
      <c r="F630" s="79" t="s">
        <v>138</v>
      </c>
      <c r="G630" s="44" t="s">
        <v>2949</v>
      </c>
      <c r="H630" s="80" t="s">
        <v>1660</v>
      </c>
      <c r="I630" s="199"/>
      <c r="J630" s="86">
        <v>5.3</v>
      </c>
      <c r="K630" s="194"/>
      <c r="L630" s="58"/>
      <c r="M630" s="58"/>
      <c r="N630" s="183"/>
      <c r="O630" s="194"/>
      <c r="P630" s="77"/>
      <c r="Q630" s="77"/>
      <c r="R630" s="194"/>
      <c r="S630" s="86">
        <v>5.3</v>
      </c>
      <c r="T630" s="85" t="s">
        <v>142</v>
      </c>
      <c r="U630" s="83" t="s">
        <v>143</v>
      </c>
    </row>
    <row r="631" spans="1:21" ht="30">
      <c r="A631" s="77">
        <v>4</v>
      </c>
      <c r="B631" s="79" t="s">
        <v>135</v>
      </c>
      <c r="C631" s="77" t="s">
        <v>23</v>
      </c>
      <c r="D631" s="36" t="s">
        <v>2957</v>
      </c>
      <c r="E631" s="196"/>
      <c r="F631" s="79" t="s">
        <v>138</v>
      </c>
      <c r="G631" s="44" t="s">
        <v>2949</v>
      </c>
      <c r="H631" s="80" t="s">
        <v>1660</v>
      </c>
      <c r="I631" s="199"/>
      <c r="J631" s="86">
        <v>2.7</v>
      </c>
      <c r="K631" s="194"/>
      <c r="L631" s="58"/>
      <c r="M631" s="58"/>
      <c r="N631" s="183"/>
      <c r="O631" s="194"/>
      <c r="P631" s="77"/>
      <c r="Q631" s="77"/>
      <c r="R631" s="194"/>
      <c r="S631" s="86">
        <v>2.7</v>
      </c>
      <c r="T631" s="85" t="s">
        <v>142</v>
      </c>
      <c r="U631" s="83" t="s">
        <v>143</v>
      </c>
    </row>
    <row r="632" spans="1:21" ht="114">
      <c r="A632" s="77">
        <v>1</v>
      </c>
      <c r="B632" s="79" t="s">
        <v>157</v>
      </c>
      <c r="C632" s="77" t="s">
        <v>23</v>
      </c>
      <c r="D632" s="46" t="s">
        <v>2958</v>
      </c>
      <c r="E632" s="184" t="s">
        <v>2948</v>
      </c>
      <c r="F632" s="79" t="s">
        <v>159</v>
      </c>
      <c r="G632" s="47" t="s">
        <v>2959</v>
      </c>
      <c r="H632" s="80" t="s">
        <v>1660</v>
      </c>
      <c r="I632" s="47"/>
      <c r="J632" s="78">
        <v>2</v>
      </c>
      <c r="K632" s="192">
        <v>156.81</v>
      </c>
      <c r="L632" s="48"/>
      <c r="M632" s="48"/>
      <c r="N632" s="193" t="s">
        <v>2960</v>
      </c>
      <c r="O632" s="78"/>
      <c r="P632" s="78"/>
      <c r="Q632" s="78"/>
      <c r="R632" s="78">
        <v>25.45</v>
      </c>
      <c r="S632" s="78">
        <v>2</v>
      </c>
      <c r="T632" s="49" t="s">
        <v>142</v>
      </c>
      <c r="U632" s="83" t="s">
        <v>143</v>
      </c>
    </row>
    <row r="633" spans="1:21" ht="85.5">
      <c r="A633" s="77">
        <v>2</v>
      </c>
      <c r="B633" s="79" t="s">
        <v>157</v>
      </c>
      <c r="C633" s="77" t="s">
        <v>23</v>
      </c>
      <c r="D633" s="46" t="s">
        <v>2961</v>
      </c>
      <c r="E633" s="186"/>
      <c r="F633" s="79" t="s">
        <v>159</v>
      </c>
      <c r="G633" s="47" t="s">
        <v>2959</v>
      </c>
      <c r="H633" s="80" t="s">
        <v>1660</v>
      </c>
      <c r="I633" s="47"/>
      <c r="J633" s="78">
        <v>0.6</v>
      </c>
      <c r="K633" s="192"/>
      <c r="L633" s="48"/>
      <c r="M633" s="48"/>
      <c r="N633" s="193"/>
      <c r="O633" s="78"/>
      <c r="P633" s="78"/>
      <c r="Q633" s="78"/>
      <c r="R633" s="78">
        <v>13.17</v>
      </c>
      <c r="S633" s="78">
        <v>0.6</v>
      </c>
      <c r="T633" s="49" t="s">
        <v>142</v>
      </c>
      <c r="U633" s="83" t="s">
        <v>143</v>
      </c>
    </row>
    <row r="634" spans="1:21" ht="99.75">
      <c r="A634" s="77">
        <v>2</v>
      </c>
      <c r="B634" s="79" t="s">
        <v>157</v>
      </c>
      <c r="C634" s="77" t="s">
        <v>23</v>
      </c>
      <c r="D634" s="46" t="s">
        <v>2962</v>
      </c>
      <c r="E634" s="186"/>
      <c r="F634" s="79" t="s">
        <v>159</v>
      </c>
      <c r="G634" s="47" t="s">
        <v>2955</v>
      </c>
      <c r="H634" s="80" t="s">
        <v>1660</v>
      </c>
      <c r="I634" s="47"/>
      <c r="J634" s="78">
        <v>1.15</v>
      </c>
      <c r="K634" s="192"/>
      <c r="L634" s="48"/>
      <c r="M634" s="48"/>
      <c r="N634" s="193"/>
      <c r="O634" s="78"/>
      <c r="P634" s="78"/>
      <c r="Q634" s="78"/>
      <c r="R634" s="78">
        <v>14.56</v>
      </c>
      <c r="S634" s="78">
        <v>1.15</v>
      </c>
      <c r="T634" s="49" t="s">
        <v>142</v>
      </c>
      <c r="U634" s="83" t="s">
        <v>143</v>
      </c>
    </row>
    <row r="635" spans="1:21" ht="71.25">
      <c r="A635" s="77">
        <v>3</v>
      </c>
      <c r="B635" s="79" t="s">
        <v>157</v>
      </c>
      <c r="C635" s="77" t="s">
        <v>23</v>
      </c>
      <c r="D635" s="46" t="s">
        <v>2963</v>
      </c>
      <c r="E635" s="185"/>
      <c r="F635" s="79" t="s">
        <v>159</v>
      </c>
      <c r="G635" s="47" t="s">
        <v>2955</v>
      </c>
      <c r="H635" s="80" t="s">
        <v>1660</v>
      </c>
      <c r="I635" s="47"/>
      <c r="J635" s="78">
        <v>2.5</v>
      </c>
      <c r="K635" s="192"/>
      <c r="L635" s="48"/>
      <c r="M635" s="48"/>
      <c r="N635" s="193"/>
      <c r="O635" s="78"/>
      <c r="P635" s="78"/>
      <c r="Q635" s="78"/>
      <c r="R635" s="78">
        <v>47.84</v>
      </c>
      <c r="S635" s="78">
        <v>2.5</v>
      </c>
      <c r="T635" s="49" t="s">
        <v>142</v>
      </c>
      <c r="U635" s="83" t="s">
        <v>143</v>
      </c>
    </row>
    <row r="636" spans="1:21" ht="128.25">
      <c r="A636" s="77">
        <v>4</v>
      </c>
      <c r="B636" s="79" t="s">
        <v>157</v>
      </c>
      <c r="C636" s="77" t="s">
        <v>23</v>
      </c>
      <c r="D636" s="46" t="s">
        <v>2964</v>
      </c>
      <c r="E636" s="184" t="s">
        <v>2952</v>
      </c>
      <c r="F636" s="79" t="s">
        <v>159</v>
      </c>
      <c r="G636" s="47" t="s">
        <v>2955</v>
      </c>
      <c r="H636" s="80" t="s">
        <v>1660</v>
      </c>
      <c r="I636" s="47"/>
      <c r="J636" s="78">
        <v>1.2</v>
      </c>
      <c r="K636" s="192">
        <v>233.01</v>
      </c>
      <c r="L636" s="48"/>
      <c r="M636" s="48"/>
      <c r="N636" s="193" t="s">
        <v>1665</v>
      </c>
      <c r="O636" s="78"/>
      <c r="P636" s="78"/>
      <c r="Q636" s="78"/>
      <c r="R636" s="78">
        <v>21.87</v>
      </c>
      <c r="S636" s="78">
        <v>1.2</v>
      </c>
      <c r="T636" s="49" t="s">
        <v>142</v>
      </c>
      <c r="U636" s="83" t="s">
        <v>143</v>
      </c>
    </row>
    <row r="637" spans="1:21" ht="128.25">
      <c r="A637" s="77">
        <v>5</v>
      </c>
      <c r="B637" s="79" t="s">
        <v>157</v>
      </c>
      <c r="C637" s="77" t="s">
        <v>23</v>
      </c>
      <c r="D637" s="46" t="s">
        <v>2965</v>
      </c>
      <c r="E637" s="186"/>
      <c r="F637" s="79" t="s">
        <v>159</v>
      </c>
      <c r="G637" s="47" t="s">
        <v>2955</v>
      </c>
      <c r="H637" s="80" t="s">
        <v>1660</v>
      </c>
      <c r="I637" s="47"/>
      <c r="J637" s="78">
        <v>2.15</v>
      </c>
      <c r="K637" s="192"/>
      <c r="L637" s="48"/>
      <c r="M637" s="48"/>
      <c r="N637" s="193"/>
      <c r="O637" s="78"/>
      <c r="P637" s="78"/>
      <c r="Q637" s="78"/>
      <c r="R637" s="78">
        <v>32.3</v>
      </c>
      <c r="S637" s="78">
        <v>2.15</v>
      </c>
      <c r="T637" s="49" t="s">
        <v>142</v>
      </c>
      <c r="U637" s="83" t="s">
        <v>143</v>
      </c>
    </row>
    <row r="638" spans="1:21" ht="171">
      <c r="A638" s="77">
        <v>6</v>
      </c>
      <c r="B638" s="79" t="s">
        <v>157</v>
      </c>
      <c r="C638" s="77" t="s">
        <v>23</v>
      </c>
      <c r="D638" s="46" t="s">
        <v>2966</v>
      </c>
      <c r="E638" s="185"/>
      <c r="F638" s="79" t="s">
        <v>159</v>
      </c>
      <c r="G638" s="47" t="s">
        <v>2955</v>
      </c>
      <c r="H638" s="80" t="s">
        <v>1660</v>
      </c>
      <c r="I638" s="47"/>
      <c r="J638" s="78">
        <v>3.75</v>
      </c>
      <c r="K638" s="192"/>
      <c r="L638" s="48"/>
      <c r="M638" s="48"/>
      <c r="N638" s="193"/>
      <c r="O638" s="78"/>
      <c r="P638" s="78"/>
      <c r="Q638" s="78"/>
      <c r="R638" s="78">
        <v>75.97</v>
      </c>
      <c r="S638" s="78">
        <v>3.75</v>
      </c>
      <c r="T638" s="49" t="s">
        <v>142</v>
      </c>
      <c r="U638" s="83" t="s">
        <v>143</v>
      </c>
    </row>
    <row r="639" spans="1:21" ht="71.25">
      <c r="A639" s="77">
        <v>7</v>
      </c>
      <c r="B639" s="79" t="s">
        <v>157</v>
      </c>
      <c r="C639" s="77" t="s">
        <v>23</v>
      </c>
      <c r="D639" s="46" t="s">
        <v>2967</v>
      </c>
      <c r="E639" s="184" t="s">
        <v>2968</v>
      </c>
      <c r="F639" s="79" t="s">
        <v>159</v>
      </c>
      <c r="G639" s="47" t="s">
        <v>2955</v>
      </c>
      <c r="H639" s="80" t="s">
        <v>1660</v>
      </c>
      <c r="I639" s="47"/>
      <c r="J639" s="78">
        <v>2</v>
      </c>
      <c r="K639" s="192">
        <v>167.82</v>
      </c>
      <c r="L639" s="48"/>
      <c r="M639" s="48"/>
      <c r="N639" s="193" t="s">
        <v>2969</v>
      </c>
      <c r="O639" s="78"/>
      <c r="P639" s="78"/>
      <c r="Q639" s="78"/>
      <c r="R639" s="78">
        <v>39.51</v>
      </c>
      <c r="S639" s="78">
        <v>2</v>
      </c>
      <c r="T639" s="49" t="s">
        <v>142</v>
      </c>
      <c r="U639" s="83" t="s">
        <v>143</v>
      </c>
    </row>
    <row r="640" spans="1:21" ht="57">
      <c r="A640" s="77">
        <v>8</v>
      </c>
      <c r="B640" s="79" t="s">
        <v>157</v>
      </c>
      <c r="C640" s="77" t="s">
        <v>23</v>
      </c>
      <c r="D640" s="46" t="s">
        <v>2970</v>
      </c>
      <c r="E640" s="185"/>
      <c r="F640" s="79" t="s">
        <v>159</v>
      </c>
      <c r="G640" s="47" t="s">
        <v>2955</v>
      </c>
      <c r="H640" s="80" t="s">
        <v>1660</v>
      </c>
      <c r="I640" s="47"/>
      <c r="J640" s="78">
        <v>3</v>
      </c>
      <c r="K640" s="192"/>
      <c r="L640" s="48"/>
      <c r="M640" s="48"/>
      <c r="N640" s="193"/>
      <c r="O640" s="78"/>
      <c r="P640" s="78"/>
      <c r="Q640" s="78"/>
      <c r="R640" s="78">
        <v>100.95</v>
      </c>
      <c r="S640" s="78">
        <v>3</v>
      </c>
      <c r="T640" s="49" t="s">
        <v>142</v>
      </c>
      <c r="U640" s="83" t="s">
        <v>143</v>
      </c>
    </row>
    <row r="641" spans="1:21" ht="99.75">
      <c r="A641" s="77">
        <v>9</v>
      </c>
      <c r="B641" s="79" t="s">
        <v>157</v>
      </c>
      <c r="C641" s="77" t="s">
        <v>23</v>
      </c>
      <c r="D641" s="163" t="s">
        <v>2971</v>
      </c>
      <c r="E641" s="184" t="s">
        <v>2972</v>
      </c>
      <c r="F641" s="79" t="s">
        <v>159</v>
      </c>
      <c r="G641" s="47" t="s">
        <v>2955</v>
      </c>
      <c r="H641" s="80" t="s">
        <v>1660</v>
      </c>
      <c r="I641" s="47"/>
      <c r="J641" s="78">
        <v>1.25</v>
      </c>
      <c r="K641" s="192">
        <v>158.85</v>
      </c>
      <c r="L641" s="48"/>
      <c r="M641" s="48"/>
      <c r="N641" s="193" t="s">
        <v>1881</v>
      </c>
      <c r="O641" s="78"/>
      <c r="P641" s="78"/>
      <c r="Q641" s="78"/>
      <c r="R641" s="78">
        <v>21.4</v>
      </c>
      <c r="S641" s="78">
        <v>1.25</v>
      </c>
      <c r="T641" s="49" t="s">
        <v>142</v>
      </c>
      <c r="U641" s="83" t="s">
        <v>143</v>
      </c>
    </row>
    <row r="642" spans="1:21" ht="57">
      <c r="A642" s="77">
        <v>10</v>
      </c>
      <c r="B642" s="79" t="s">
        <v>157</v>
      </c>
      <c r="C642" s="77" t="s">
        <v>23</v>
      </c>
      <c r="D642" s="46" t="s">
        <v>2973</v>
      </c>
      <c r="E642" s="186"/>
      <c r="F642" s="79" t="s">
        <v>159</v>
      </c>
      <c r="G642" s="47" t="s">
        <v>2955</v>
      </c>
      <c r="H642" s="80" t="s">
        <v>1660</v>
      </c>
      <c r="I642" s="47"/>
      <c r="J642" s="78">
        <v>3.5</v>
      </c>
      <c r="K642" s="192"/>
      <c r="L642" s="48"/>
      <c r="M642" s="48"/>
      <c r="N642" s="193"/>
      <c r="O642" s="78"/>
      <c r="P642" s="78"/>
      <c r="Q642" s="78"/>
      <c r="R642" s="78">
        <v>82.96</v>
      </c>
      <c r="S642" s="78">
        <v>3.5</v>
      </c>
      <c r="T642" s="49" t="s">
        <v>142</v>
      </c>
      <c r="U642" s="83" t="s">
        <v>143</v>
      </c>
    </row>
    <row r="643" spans="1:21" ht="57">
      <c r="A643" s="77">
        <v>11</v>
      </c>
      <c r="B643" s="79" t="s">
        <v>157</v>
      </c>
      <c r="C643" s="77" t="s">
        <v>23</v>
      </c>
      <c r="D643" s="46" t="s">
        <v>2974</v>
      </c>
      <c r="E643" s="186"/>
      <c r="F643" s="79" t="s">
        <v>159</v>
      </c>
      <c r="G643" s="47" t="s">
        <v>2955</v>
      </c>
      <c r="H643" s="80" t="s">
        <v>1660</v>
      </c>
      <c r="I643" s="47"/>
      <c r="J643" s="78">
        <v>0.9</v>
      </c>
      <c r="K643" s="192"/>
      <c r="L643" s="48"/>
      <c r="M643" s="48"/>
      <c r="N643" s="193"/>
      <c r="O643" s="78"/>
      <c r="P643" s="78"/>
      <c r="Q643" s="78"/>
      <c r="R643" s="78">
        <v>18.73</v>
      </c>
      <c r="S643" s="78">
        <v>0.9</v>
      </c>
      <c r="T643" s="49" t="s">
        <v>142</v>
      </c>
      <c r="U643" s="83" t="s">
        <v>143</v>
      </c>
    </row>
    <row r="644" spans="1:21" ht="99.75">
      <c r="A644" s="77">
        <v>12</v>
      </c>
      <c r="B644" s="79" t="s">
        <v>157</v>
      </c>
      <c r="C644" s="77" t="s">
        <v>23</v>
      </c>
      <c r="D644" s="46" t="s">
        <v>2975</v>
      </c>
      <c r="E644" s="185"/>
      <c r="F644" s="79" t="s">
        <v>159</v>
      </c>
      <c r="G644" s="47" t="s">
        <v>2955</v>
      </c>
      <c r="H644" s="80" t="s">
        <v>1660</v>
      </c>
      <c r="I644" s="47"/>
      <c r="J644" s="78">
        <v>1</v>
      </c>
      <c r="K644" s="192"/>
      <c r="L644" s="48"/>
      <c r="M644" s="48"/>
      <c r="N644" s="193"/>
      <c r="O644" s="78"/>
      <c r="P644" s="78"/>
      <c r="Q644" s="78"/>
      <c r="R644" s="78">
        <v>30.04</v>
      </c>
      <c r="S644" s="78">
        <v>1</v>
      </c>
      <c r="T644" s="49" t="s">
        <v>142</v>
      </c>
      <c r="U644" s="83" t="s">
        <v>143</v>
      </c>
    </row>
    <row r="645" spans="1:21" ht="99.75">
      <c r="A645" s="77">
        <v>13</v>
      </c>
      <c r="B645" s="79" t="s">
        <v>185</v>
      </c>
      <c r="C645" s="77" t="s">
        <v>23</v>
      </c>
      <c r="D645" s="36" t="s">
        <v>2976</v>
      </c>
      <c r="E645" s="184" t="s">
        <v>2948</v>
      </c>
      <c r="F645" s="79" t="s">
        <v>135</v>
      </c>
      <c r="G645" s="79" t="s">
        <v>2955</v>
      </c>
      <c r="H645" s="80" t="s">
        <v>1660</v>
      </c>
      <c r="I645" s="183" t="s">
        <v>2977</v>
      </c>
      <c r="J645" s="51">
        <v>3.28</v>
      </c>
      <c r="K645" s="51">
        <v>28.85</v>
      </c>
      <c r="L645" s="90" t="s">
        <v>2978</v>
      </c>
      <c r="M645" s="90" t="s">
        <v>2979</v>
      </c>
      <c r="N645" s="90" t="s">
        <v>2980</v>
      </c>
      <c r="O645" s="86">
        <v>23.74</v>
      </c>
      <c r="P645" s="86">
        <v>0</v>
      </c>
      <c r="Q645" s="86">
        <f aca="true" t="shared" si="34" ref="Q645:Q657">SUM(O645:P645)</f>
        <v>23.74</v>
      </c>
      <c r="R645" s="86">
        <v>28.51</v>
      </c>
      <c r="S645" s="51">
        <v>3.28</v>
      </c>
      <c r="T645" s="83" t="s">
        <v>142</v>
      </c>
      <c r="U645" s="83" t="s">
        <v>143</v>
      </c>
    </row>
    <row r="646" spans="1:21" ht="142.5">
      <c r="A646" s="77">
        <v>14</v>
      </c>
      <c r="B646" s="79" t="s">
        <v>185</v>
      </c>
      <c r="C646" s="77" t="s">
        <v>23</v>
      </c>
      <c r="D646" s="36" t="s">
        <v>2981</v>
      </c>
      <c r="E646" s="185"/>
      <c r="F646" s="79" t="s">
        <v>135</v>
      </c>
      <c r="G646" s="79" t="s">
        <v>2955</v>
      </c>
      <c r="H646" s="80" t="s">
        <v>1660</v>
      </c>
      <c r="I646" s="183"/>
      <c r="J646" s="51">
        <v>1.98</v>
      </c>
      <c r="K646" s="51">
        <v>17.07</v>
      </c>
      <c r="L646" s="90" t="s">
        <v>2982</v>
      </c>
      <c r="M646" s="90" t="s">
        <v>2983</v>
      </c>
      <c r="N646" s="90" t="s">
        <v>1668</v>
      </c>
      <c r="O646" s="86">
        <v>15.81</v>
      </c>
      <c r="P646" s="86">
        <v>0</v>
      </c>
      <c r="Q646" s="86">
        <f t="shared" si="34"/>
        <v>15.81</v>
      </c>
      <c r="R646" s="86">
        <v>13.82</v>
      </c>
      <c r="S646" s="51">
        <v>1.98</v>
      </c>
      <c r="T646" s="83" t="s">
        <v>142</v>
      </c>
      <c r="U646" s="83" t="s">
        <v>1188</v>
      </c>
    </row>
    <row r="647" spans="1:21" ht="142.5">
      <c r="A647" s="77">
        <v>2</v>
      </c>
      <c r="B647" s="79" t="s">
        <v>185</v>
      </c>
      <c r="C647" s="77" t="s">
        <v>23</v>
      </c>
      <c r="D647" s="36" t="s">
        <v>2984</v>
      </c>
      <c r="E647" s="84" t="s">
        <v>2952</v>
      </c>
      <c r="F647" s="79" t="s">
        <v>135</v>
      </c>
      <c r="G647" s="79" t="s">
        <v>2953</v>
      </c>
      <c r="H647" s="80" t="s">
        <v>1660</v>
      </c>
      <c r="I647" s="183"/>
      <c r="J647" s="51">
        <v>2.31</v>
      </c>
      <c r="K647" s="51">
        <v>19.17</v>
      </c>
      <c r="L647" s="90" t="s">
        <v>2982</v>
      </c>
      <c r="M647" s="90" t="s">
        <v>2983</v>
      </c>
      <c r="N647" s="90" t="s">
        <v>1668</v>
      </c>
      <c r="O647" s="86">
        <v>13.66</v>
      </c>
      <c r="P647" s="86">
        <v>0</v>
      </c>
      <c r="Q647" s="86">
        <f t="shared" si="34"/>
        <v>13.66</v>
      </c>
      <c r="R647" s="86">
        <v>13.75</v>
      </c>
      <c r="S647" s="51">
        <v>2.31</v>
      </c>
      <c r="T647" s="83" t="s">
        <v>142</v>
      </c>
      <c r="U647" s="83" t="s">
        <v>1188</v>
      </c>
    </row>
    <row r="648" spans="1:21" ht="135">
      <c r="A648" s="77">
        <v>3</v>
      </c>
      <c r="B648" s="79" t="s">
        <v>202</v>
      </c>
      <c r="C648" s="77" t="s">
        <v>23</v>
      </c>
      <c r="D648" s="37" t="s">
        <v>2985</v>
      </c>
      <c r="E648" s="184" t="s">
        <v>2948</v>
      </c>
      <c r="F648" s="79" t="s">
        <v>135</v>
      </c>
      <c r="G648" s="79" t="s">
        <v>2953</v>
      </c>
      <c r="H648" s="80" t="s">
        <v>1660</v>
      </c>
      <c r="I648" s="183" t="s">
        <v>2977</v>
      </c>
      <c r="J648" s="80">
        <v>1.6</v>
      </c>
      <c r="K648" s="80">
        <v>40.14</v>
      </c>
      <c r="L648" s="187" t="s">
        <v>2986</v>
      </c>
      <c r="M648" s="80"/>
      <c r="N648" s="80" t="s">
        <v>2633</v>
      </c>
      <c r="O648" s="80">
        <v>39.65</v>
      </c>
      <c r="P648" s="80"/>
      <c r="Q648" s="80">
        <f t="shared" si="34"/>
        <v>39.65</v>
      </c>
      <c r="R648" s="80">
        <v>196.91</v>
      </c>
      <c r="S648" s="80">
        <v>1.6</v>
      </c>
      <c r="T648" s="85" t="s">
        <v>142</v>
      </c>
      <c r="U648" s="85" t="s">
        <v>1188</v>
      </c>
    </row>
    <row r="649" spans="1:21" ht="105">
      <c r="A649" s="77">
        <v>15</v>
      </c>
      <c r="B649" s="79" t="s">
        <v>202</v>
      </c>
      <c r="C649" s="77" t="s">
        <v>23</v>
      </c>
      <c r="D649" s="37" t="s">
        <v>2987</v>
      </c>
      <c r="E649" s="186"/>
      <c r="F649" s="79" t="s">
        <v>135</v>
      </c>
      <c r="G649" s="79" t="s">
        <v>2955</v>
      </c>
      <c r="H649" s="80" t="s">
        <v>1660</v>
      </c>
      <c r="I649" s="183"/>
      <c r="J649" s="80">
        <v>1.6</v>
      </c>
      <c r="K649" s="80">
        <v>43.32</v>
      </c>
      <c r="L649" s="187"/>
      <c r="M649" s="80"/>
      <c r="N649" s="80" t="s">
        <v>1191</v>
      </c>
      <c r="O649" s="80">
        <v>42.8</v>
      </c>
      <c r="P649" s="80"/>
      <c r="Q649" s="80">
        <f t="shared" si="34"/>
        <v>42.8</v>
      </c>
      <c r="R649" s="80">
        <v>0</v>
      </c>
      <c r="S649" s="80">
        <v>1.6</v>
      </c>
      <c r="T649" s="85" t="s">
        <v>142</v>
      </c>
      <c r="U649" s="85" t="s">
        <v>1188</v>
      </c>
    </row>
    <row r="650" spans="1:21" ht="105">
      <c r="A650" s="77">
        <v>16</v>
      </c>
      <c r="B650" s="79" t="s">
        <v>202</v>
      </c>
      <c r="C650" s="77" t="s">
        <v>23</v>
      </c>
      <c r="D650" s="37" t="s">
        <v>2988</v>
      </c>
      <c r="E650" s="186"/>
      <c r="F650" s="79" t="s">
        <v>135</v>
      </c>
      <c r="G650" s="79" t="s">
        <v>2955</v>
      </c>
      <c r="H650" s="80" t="s">
        <v>1660</v>
      </c>
      <c r="I650" s="183"/>
      <c r="J650" s="80">
        <v>1.86</v>
      </c>
      <c r="K650" s="80">
        <v>47.74</v>
      </c>
      <c r="L650" s="187"/>
      <c r="M650" s="80"/>
      <c r="N650" s="80" t="s">
        <v>1191</v>
      </c>
      <c r="O650" s="80">
        <v>47.16</v>
      </c>
      <c r="P650" s="80"/>
      <c r="Q650" s="80">
        <f t="shared" si="34"/>
        <v>47.16</v>
      </c>
      <c r="R650" s="80">
        <v>0</v>
      </c>
      <c r="S650" s="80">
        <v>1.86</v>
      </c>
      <c r="T650" s="85" t="s">
        <v>142</v>
      </c>
      <c r="U650" s="85" t="s">
        <v>1188</v>
      </c>
    </row>
    <row r="651" spans="1:21" ht="90">
      <c r="A651" s="77">
        <v>1</v>
      </c>
      <c r="B651" s="79" t="s">
        <v>202</v>
      </c>
      <c r="C651" s="77" t="s">
        <v>23</v>
      </c>
      <c r="D651" s="37" t="s">
        <v>2989</v>
      </c>
      <c r="E651" s="185"/>
      <c r="F651" s="79" t="s">
        <v>135</v>
      </c>
      <c r="G651" s="79" t="s">
        <v>2990</v>
      </c>
      <c r="H651" s="80" t="s">
        <v>1660</v>
      </c>
      <c r="I651" s="183"/>
      <c r="J651" s="80">
        <v>2.6</v>
      </c>
      <c r="K651" s="80">
        <v>67.16</v>
      </c>
      <c r="L651" s="187"/>
      <c r="M651" s="80"/>
      <c r="N651" s="80" t="s">
        <v>1191</v>
      </c>
      <c r="O651" s="80">
        <v>66.35</v>
      </c>
      <c r="P651" s="80"/>
      <c r="Q651" s="80">
        <f t="shared" si="34"/>
        <v>66.35</v>
      </c>
      <c r="R651" s="80">
        <v>0</v>
      </c>
      <c r="S651" s="80">
        <v>2.6</v>
      </c>
      <c r="T651" s="85" t="s">
        <v>142</v>
      </c>
      <c r="U651" s="85" t="s">
        <v>1188</v>
      </c>
    </row>
    <row r="652" spans="1:21" ht="114">
      <c r="A652" s="77">
        <v>1</v>
      </c>
      <c r="B652" s="79" t="s">
        <v>244</v>
      </c>
      <c r="C652" s="77" t="s">
        <v>23</v>
      </c>
      <c r="D652" s="36" t="s">
        <v>2991</v>
      </c>
      <c r="E652" s="51" t="s">
        <v>2948</v>
      </c>
      <c r="F652" s="80" t="s">
        <v>159</v>
      </c>
      <c r="G652" s="53" t="s">
        <v>2992</v>
      </c>
      <c r="H652" s="80" t="s">
        <v>2993</v>
      </c>
      <c r="I652" s="81" t="s">
        <v>2994</v>
      </c>
      <c r="J652" s="80">
        <v>1.85</v>
      </c>
      <c r="K652" s="80">
        <v>49.69</v>
      </c>
      <c r="L652" s="82" t="s">
        <v>2995</v>
      </c>
      <c r="M652" s="80" t="s">
        <v>259</v>
      </c>
      <c r="N652" s="80" t="s">
        <v>2996</v>
      </c>
      <c r="O652" s="80">
        <v>46.69</v>
      </c>
      <c r="P652" s="80"/>
      <c r="Q652" s="80">
        <f t="shared" si="34"/>
        <v>46.69</v>
      </c>
      <c r="R652" s="80">
        <v>133.12</v>
      </c>
      <c r="S652" s="80">
        <v>2.2</v>
      </c>
      <c r="T652" s="85" t="s">
        <v>142</v>
      </c>
      <c r="U652" s="83" t="s">
        <v>1188</v>
      </c>
    </row>
    <row r="653" spans="1:21" ht="142.5">
      <c r="A653" s="77">
        <v>2</v>
      </c>
      <c r="B653" s="79" t="s">
        <v>244</v>
      </c>
      <c r="C653" s="77" t="s">
        <v>23</v>
      </c>
      <c r="D653" s="36" t="s">
        <v>2997</v>
      </c>
      <c r="E653" s="51" t="s">
        <v>2968</v>
      </c>
      <c r="F653" s="80" t="s">
        <v>159</v>
      </c>
      <c r="G653" s="53" t="s">
        <v>2990</v>
      </c>
      <c r="H653" s="80" t="s">
        <v>2993</v>
      </c>
      <c r="I653" s="81" t="s">
        <v>1709</v>
      </c>
      <c r="J653" s="80">
        <v>2.3</v>
      </c>
      <c r="K653" s="80">
        <v>87.15</v>
      </c>
      <c r="L653" s="82" t="s">
        <v>2998</v>
      </c>
      <c r="M653" s="80" t="s">
        <v>1232</v>
      </c>
      <c r="N653" s="80" t="s">
        <v>1405</v>
      </c>
      <c r="O653" s="80">
        <v>74.47</v>
      </c>
      <c r="P653" s="80">
        <f>7.94+5.58</f>
        <v>13.52</v>
      </c>
      <c r="Q653" s="80">
        <f t="shared" si="34"/>
        <v>87.99</v>
      </c>
      <c r="R653" s="80">
        <v>5.42</v>
      </c>
      <c r="S653" s="80">
        <v>2.3</v>
      </c>
      <c r="T653" s="85" t="s">
        <v>142</v>
      </c>
      <c r="U653" s="83" t="s">
        <v>1188</v>
      </c>
    </row>
    <row r="654" spans="1:21" ht="128.25">
      <c r="A654" s="77">
        <v>17</v>
      </c>
      <c r="B654" s="79" t="s">
        <v>244</v>
      </c>
      <c r="C654" s="77" t="s">
        <v>23</v>
      </c>
      <c r="D654" s="36" t="s">
        <v>2999</v>
      </c>
      <c r="E654" s="188" t="s">
        <v>2952</v>
      </c>
      <c r="F654" s="80" t="s">
        <v>159</v>
      </c>
      <c r="G654" s="53" t="s">
        <v>2955</v>
      </c>
      <c r="H654" s="80" t="s">
        <v>2993</v>
      </c>
      <c r="I654" s="191" t="s">
        <v>3000</v>
      </c>
      <c r="J654" s="80">
        <v>4.02</v>
      </c>
      <c r="K654" s="80">
        <v>112.28</v>
      </c>
      <c r="L654" s="80" t="s">
        <v>2998</v>
      </c>
      <c r="M654" s="80" t="s">
        <v>1207</v>
      </c>
      <c r="N654" s="80" t="s">
        <v>1405</v>
      </c>
      <c r="O654" s="80">
        <v>86.55</v>
      </c>
      <c r="P654" s="80"/>
      <c r="Q654" s="80">
        <f t="shared" si="34"/>
        <v>86.55</v>
      </c>
      <c r="R654" s="80">
        <v>0</v>
      </c>
      <c r="S654" s="80">
        <v>4.02</v>
      </c>
      <c r="T654" s="85" t="s">
        <v>142</v>
      </c>
      <c r="U654" s="83" t="s">
        <v>261</v>
      </c>
    </row>
    <row r="655" spans="1:21" ht="171">
      <c r="A655" s="77">
        <v>18</v>
      </c>
      <c r="B655" s="79" t="s">
        <v>244</v>
      </c>
      <c r="C655" s="77" t="s">
        <v>23</v>
      </c>
      <c r="D655" s="36" t="s">
        <v>3001</v>
      </c>
      <c r="E655" s="189"/>
      <c r="F655" s="80" t="s">
        <v>159</v>
      </c>
      <c r="G655" s="53" t="s">
        <v>2955</v>
      </c>
      <c r="H655" s="80" t="s">
        <v>2993</v>
      </c>
      <c r="I655" s="191"/>
      <c r="J655" s="80">
        <v>2.01</v>
      </c>
      <c r="K655" s="80">
        <v>47.2</v>
      </c>
      <c r="L655" s="80" t="s">
        <v>2998</v>
      </c>
      <c r="M655" s="80" t="s">
        <v>2264</v>
      </c>
      <c r="N655" s="80" t="s">
        <v>1405</v>
      </c>
      <c r="O655" s="80">
        <v>36.38</v>
      </c>
      <c r="P655" s="80"/>
      <c r="Q655" s="80">
        <f t="shared" si="34"/>
        <v>36.38</v>
      </c>
      <c r="R655" s="80">
        <v>0</v>
      </c>
      <c r="S655" s="80">
        <v>2.01</v>
      </c>
      <c r="T655" s="85" t="s">
        <v>142</v>
      </c>
      <c r="U655" s="83" t="s">
        <v>1188</v>
      </c>
    </row>
    <row r="656" spans="1:21" ht="142.5">
      <c r="A656" s="77">
        <v>4</v>
      </c>
      <c r="B656" s="79" t="s">
        <v>244</v>
      </c>
      <c r="C656" s="77" t="s">
        <v>23</v>
      </c>
      <c r="D656" s="36" t="s">
        <v>3002</v>
      </c>
      <c r="E656" s="190"/>
      <c r="F656" s="80" t="s">
        <v>159</v>
      </c>
      <c r="G656" s="53" t="s">
        <v>2953</v>
      </c>
      <c r="H656" s="80" t="s">
        <v>2993</v>
      </c>
      <c r="I656" s="191"/>
      <c r="J656" s="80">
        <v>2.95</v>
      </c>
      <c r="K656" s="80">
        <v>108.09</v>
      </c>
      <c r="L656" s="80" t="s">
        <v>2998</v>
      </c>
      <c r="M656" s="80" t="s">
        <v>526</v>
      </c>
      <c r="N656" s="80" t="s">
        <v>526</v>
      </c>
      <c r="O656" s="80">
        <v>83.32</v>
      </c>
      <c r="P656" s="80">
        <v>59.54</v>
      </c>
      <c r="Q656" s="80">
        <f t="shared" si="34"/>
        <v>142.85999999999999</v>
      </c>
      <c r="R656" s="80">
        <v>265.28</v>
      </c>
      <c r="S656" s="80">
        <v>2.95</v>
      </c>
      <c r="T656" s="85" t="s">
        <v>142</v>
      </c>
      <c r="U656" s="83" t="s">
        <v>1188</v>
      </c>
    </row>
    <row r="657" spans="1:21" ht="96" customHeight="1">
      <c r="A657" s="77">
        <v>3</v>
      </c>
      <c r="B657" s="79" t="s">
        <v>244</v>
      </c>
      <c r="C657" s="77" t="s">
        <v>23</v>
      </c>
      <c r="D657" s="36" t="s">
        <v>3003</v>
      </c>
      <c r="E657" s="51" t="s">
        <v>2972</v>
      </c>
      <c r="F657" s="80" t="s">
        <v>391</v>
      </c>
      <c r="G657" s="53" t="s">
        <v>2990</v>
      </c>
      <c r="H657" s="80" t="s">
        <v>2993</v>
      </c>
      <c r="I657" s="107" t="s">
        <v>899</v>
      </c>
      <c r="J657" s="80">
        <v>9.5</v>
      </c>
      <c r="K657" s="80">
        <v>512.85</v>
      </c>
      <c r="L657" s="80" t="s">
        <v>3004</v>
      </c>
      <c r="M657" s="80" t="s">
        <v>3005</v>
      </c>
      <c r="N657" s="80" t="s">
        <v>3006</v>
      </c>
      <c r="O657" s="80">
        <v>616.02</v>
      </c>
      <c r="P657" s="80">
        <v>123.34</v>
      </c>
      <c r="Q657" s="80">
        <f t="shared" si="34"/>
        <v>739.36</v>
      </c>
      <c r="R657" s="108">
        <v>1323.74</v>
      </c>
      <c r="S657" s="80">
        <v>9.5</v>
      </c>
      <c r="T657" s="85" t="s">
        <v>142</v>
      </c>
      <c r="U657" s="83" t="s">
        <v>261</v>
      </c>
    </row>
    <row r="658" spans="1:21" ht="102">
      <c r="A658" s="77">
        <v>19</v>
      </c>
      <c r="B658" s="79" t="s">
        <v>313</v>
      </c>
      <c r="C658" s="77" t="s">
        <v>23</v>
      </c>
      <c r="D658" s="66" t="s">
        <v>3009</v>
      </c>
      <c r="E658" s="43" t="s">
        <v>2948</v>
      </c>
      <c r="F658" s="79" t="s">
        <v>391</v>
      </c>
      <c r="G658" s="53" t="s">
        <v>2955</v>
      </c>
      <c r="H658" s="80" t="s">
        <v>2993</v>
      </c>
      <c r="I658" s="53" t="s">
        <v>1278</v>
      </c>
      <c r="J658" s="68">
        <v>1.7</v>
      </c>
      <c r="K658" s="68">
        <v>63.33</v>
      </c>
      <c r="L658" s="68" t="s">
        <v>3010</v>
      </c>
      <c r="M658" s="68" t="s">
        <v>3011</v>
      </c>
      <c r="N658" s="80" t="s">
        <v>308</v>
      </c>
      <c r="O658" s="68">
        <v>46.63</v>
      </c>
      <c r="P658" s="68"/>
      <c r="Q658" s="68">
        <f>SUM(O658:P658)</f>
        <v>46.63</v>
      </c>
      <c r="R658" s="68">
        <v>46.16</v>
      </c>
      <c r="S658" s="68">
        <v>1.7</v>
      </c>
      <c r="T658" s="56" t="s">
        <v>142</v>
      </c>
      <c r="U658" s="56" t="s">
        <v>261</v>
      </c>
    </row>
    <row r="659" spans="1:21" ht="99.75">
      <c r="A659" s="77">
        <v>1</v>
      </c>
      <c r="B659" s="79" t="s">
        <v>135</v>
      </c>
      <c r="C659" s="77" t="s">
        <v>24</v>
      </c>
      <c r="D659" s="36" t="s">
        <v>3012</v>
      </c>
      <c r="E659" s="77" t="s">
        <v>3013</v>
      </c>
      <c r="F659" s="79" t="s">
        <v>138</v>
      </c>
      <c r="G659" s="44" t="s">
        <v>3014</v>
      </c>
      <c r="H659" s="80" t="s">
        <v>3014</v>
      </c>
      <c r="I659" s="90" t="s">
        <v>141</v>
      </c>
      <c r="J659" s="86">
        <v>5.812</v>
      </c>
      <c r="K659" s="86">
        <v>99.43</v>
      </c>
      <c r="L659" s="58"/>
      <c r="M659" s="58"/>
      <c r="N659" s="111"/>
      <c r="O659" s="86">
        <v>98.9</v>
      </c>
      <c r="P659" s="77"/>
      <c r="Q659" s="77"/>
      <c r="R659" s="86">
        <v>98.3</v>
      </c>
      <c r="S659" s="86">
        <v>5.812</v>
      </c>
      <c r="T659" s="85" t="s">
        <v>142</v>
      </c>
      <c r="U659" s="83" t="s">
        <v>143</v>
      </c>
    </row>
    <row r="660" spans="1:21" ht="99.75">
      <c r="A660" s="77">
        <v>2</v>
      </c>
      <c r="B660" s="79" t="s">
        <v>135</v>
      </c>
      <c r="C660" s="77" t="s">
        <v>24</v>
      </c>
      <c r="D660" s="36" t="s">
        <v>3015</v>
      </c>
      <c r="E660" s="77" t="s">
        <v>3016</v>
      </c>
      <c r="F660" s="79" t="s">
        <v>138</v>
      </c>
      <c r="G660" s="44" t="s">
        <v>3014</v>
      </c>
      <c r="H660" s="80" t="s">
        <v>3014</v>
      </c>
      <c r="I660" s="90" t="s">
        <v>141</v>
      </c>
      <c r="J660" s="86">
        <v>5.813</v>
      </c>
      <c r="K660" s="86">
        <v>99.43</v>
      </c>
      <c r="L660" s="58"/>
      <c r="M660" s="58"/>
      <c r="N660" s="111"/>
      <c r="O660" s="86">
        <v>98.75</v>
      </c>
      <c r="P660" s="77"/>
      <c r="Q660" s="77"/>
      <c r="R660" s="86">
        <v>95.22</v>
      </c>
      <c r="S660" s="86">
        <v>5.813</v>
      </c>
      <c r="T660" s="85" t="s">
        <v>142</v>
      </c>
      <c r="U660" s="83" t="s">
        <v>143</v>
      </c>
    </row>
    <row r="661" spans="1:21" ht="57">
      <c r="A661" s="77">
        <v>1</v>
      </c>
      <c r="B661" s="79" t="s">
        <v>135</v>
      </c>
      <c r="C661" s="77" t="s">
        <v>24</v>
      </c>
      <c r="D661" s="36" t="s">
        <v>3017</v>
      </c>
      <c r="E661" s="77" t="s">
        <v>3018</v>
      </c>
      <c r="F661" s="79" t="s">
        <v>138</v>
      </c>
      <c r="G661" s="44" t="s">
        <v>3019</v>
      </c>
      <c r="H661" s="80" t="s">
        <v>3014</v>
      </c>
      <c r="I661" s="90" t="s">
        <v>141</v>
      </c>
      <c r="J661" s="86">
        <v>7.5</v>
      </c>
      <c r="K661" s="86">
        <v>165.45</v>
      </c>
      <c r="L661" s="58"/>
      <c r="M661" s="58"/>
      <c r="N661" s="111"/>
      <c r="O661" s="86">
        <v>165.03</v>
      </c>
      <c r="P661" s="77"/>
      <c r="Q661" s="77"/>
      <c r="R661" s="86">
        <v>163.09</v>
      </c>
      <c r="S661" s="86">
        <v>7.5</v>
      </c>
      <c r="T661" s="85" t="s">
        <v>142</v>
      </c>
      <c r="U661" s="83" t="s">
        <v>143</v>
      </c>
    </row>
    <row r="662" spans="1:21" ht="85.5">
      <c r="A662" s="77">
        <v>2</v>
      </c>
      <c r="B662" s="79" t="s">
        <v>135</v>
      </c>
      <c r="C662" s="77" t="s">
        <v>24</v>
      </c>
      <c r="D662" s="36" t="s">
        <v>3020</v>
      </c>
      <c r="E662" s="77" t="s">
        <v>3021</v>
      </c>
      <c r="F662" s="79" t="s">
        <v>391</v>
      </c>
      <c r="G662" s="44" t="s">
        <v>3019</v>
      </c>
      <c r="H662" s="80" t="s">
        <v>3014</v>
      </c>
      <c r="I662" s="90"/>
      <c r="J662" s="86">
        <v>3.7</v>
      </c>
      <c r="K662" s="86">
        <v>120.23</v>
      </c>
      <c r="L662" s="58"/>
      <c r="M662" s="58"/>
      <c r="N662" s="111"/>
      <c r="O662" s="86">
        <v>116.14</v>
      </c>
      <c r="P662" s="77"/>
      <c r="Q662" s="77"/>
      <c r="R662" s="86">
        <v>101.28</v>
      </c>
      <c r="S662" s="86">
        <v>3.7</v>
      </c>
      <c r="T662" s="85" t="s">
        <v>142</v>
      </c>
      <c r="U662" s="83" t="s">
        <v>143</v>
      </c>
    </row>
    <row r="663" spans="1:21" ht="71.25">
      <c r="A663" s="77">
        <v>3</v>
      </c>
      <c r="B663" s="79" t="s">
        <v>157</v>
      </c>
      <c r="C663" s="77" t="s">
        <v>24</v>
      </c>
      <c r="D663" s="46" t="s">
        <v>3022</v>
      </c>
      <c r="E663" s="84" t="s">
        <v>3016</v>
      </c>
      <c r="F663" s="79" t="s">
        <v>159</v>
      </c>
      <c r="G663" s="47" t="s">
        <v>3019</v>
      </c>
      <c r="H663" s="47" t="s">
        <v>24</v>
      </c>
      <c r="I663" s="47"/>
      <c r="J663" s="78">
        <v>11</v>
      </c>
      <c r="K663" s="78">
        <v>240</v>
      </c>
      <c r="L663" s="48"/>
      <c r="M663" s="48"/>
      <c r="N663" s="87" t="s">
        <v>3023</v>
      </c>
      <c r="O663" s="78"/>
      <c r="P663" s="78"/>
      <c r="Q663" s="78"/>
      <c r="R663" s="78">
        <v>319.55</v>
      </c>
      <c r="S663" s="78">
        <v>11</v>
      </c>
      <c r="T663" s="49" t="s">
        <v>142</v>
      </c>
      <c r="U663" s="83" t="s">
        <v>143</v>
      </c>
    </row>
    <row r="664" spans="1:21" ht="85.5">
      <c r="A664" s="77">
        <v>1</v>
      </c>
      <c r="B664" s="79" t="s">
        <v>157</v>
      </c>
      <c r="C664" s="77" t="s">
        <v>24</v>
      </c>
      <c r="D664" s="46" t="s">
        <v>3024</v>
      </c>
      <c r="E664" s="84" t="s">
        <v>3025</v>
      </c>
      <c r="F664" s="79" t="s">
        <v>159</v>
      </c>
      <c r="G664" s="47" t="s">
        <v>3026</v>
      </c>
      <c r="H664" s="47" t="s">
        <v>24</v>
      </c>
      <c r="I664" s="47"/>
      <c r="J664" s="78">
        <v>5.95</v>
      </c>
      <c r="K664" s="78">
        <v>180</v>
      </c>
      <c r="L664" s="48"/>
      <c r="M664" s="48"/>
      <c r="N664" s="87" t="s">
        <v>1665</v>
      </c>
      <c r="O664" s="78"/>
      <c r="P664" s="78"/>
      <c r="Q664" s="78"/>
      <c r="R664" s="78">
        <v>165.71</v>
      </c>
      <c r="S664" s="78">
        <v>5.95</v>
      </c>
      <c r="T664" s="49" t="s">
        <v>142</v>
      </c>
      <c r="U664" s="83" t="s">
        <v>143</v>
      </c>
    </row>
    <row r="665" spans="1:21" ht="75">
      <c r="A665" s="77">
        <v>2</v>
      </c>
      <c r="B665" s="79" t="s">
        <v>176</v>
      </c>
      <c r="C665" s="77" t="s">
        <v>24</v>
      </c>
      <c r="D665" s="37" t="s">
        <v>3027</v>
      </c>
      <c r="E665" s="84" t="s">
        <v>3013</v>
      </c>
      <c r="F665" s="79" t="s">
        <v>159</v>
      </c>
      <c r="G665" s="79" t="s">
        <v>3026</v>
      </c>
      <c r="H665" s="79" t="s">
        <v>24</v>
      </c>
      <c r="I665" s="79" t="s">
        <v>3028</v>
      </c>
      <c r="J665" s="51">
        <v>6.25</v>
      </c>
      <c r="K665" s="51">
        <v>210</v>
      </c>
      <c r="L665" s="80" t="s">
        <v>3029</v>
      </c>
      <c r="M665" s="80" t="s">
        <v>3030</v>
      </c>
      <c r="N665" s="125" t="s">
        <v>526</v>
      </c>
      <c r="O665" s="51">
        <v>451.85</v>
      </c>
      <c r="P665" s="51">
        <v>2.98</v>
      </c>
      <c r="Q665" s="51">
        <f>SUM(O665:P665)</f>
        <v>454.83000000000004</v>
      </c>
      <c r="R665" s="51">
        <v>542.13</v>
      </c>
      <c r="S665" s="51">
        <v>6.25</v>
      </c>
      <c r="T665" s="83" t="s">
        <v>142</v>
      </c>
      <c r="U665" s="140" t="s">
        <v>3031</v>
      </c>
    </row>
    <row r="666" spans="1:21" ht="150">
      <c r="A666" s="77">
        <v>3</v>
      </c>
      <c r="B666" s="79" t="s">
        <v>176</v>
      </c>
      <c r="C666" s="77" t="s">
        <v>24</v>
      </c>
      <c r="D666" s="37" t="s">
        <v>3032</v>
      </c>
      <c r="E666" s="84" t="s">
        <v>3018</v>
      </c>
      <c r="F666" s="79" t="s">
        <v>159</v>
      </c>
      <c r="G666" s="79" t="s">
        <v>3014</v>
      </c>
      <c r="H666" s="80" t="s">
        <v>3014</v>
      </c>
      <c r="I666" s="79" t="s">
        <v>3033</v>
      </c>
      <c r="J666" s="51">
        <v>3.8</v>
      </c>
      <c r="K666" s="51">
        <v>105</v>
      </c>
      <c r="L666" s="80" t="s">
        <v>3034</v>
      </c>
      <c r="M666" s="80" t="s">
        <v>1196</v>
      </c>
      <c r="N666" s="125" t="s">
        <v>220</v>
      </c>
      <c r="O666" s="51">
        <v>129.18</v>
      </c>
      <c r="P666" s="51">
        <v>14.59</v>
      </c>
      <c r="Q666" s="51">
        <f>SUM(O666:P666)</f>
        <v>143.77</v>
      </c>
      <c r="R666" s="51">
        <v>140.79</v>
      </c>
      <c r="S666" s="51">
        <v>3.8</v>
      </c>
      <c r="T666" s="83" t="s">
        <v>142</v>
      </c>
      <c r="U666" s="140" t="s">
        <v>143</v>
      </c>
    </row>
    <row r="667" spans="1:21" ht="90">
      <c r="A667" s="77">
        <v>3</v>
      </c>
      <c r="B667" s="79" t="s">
        <v>176</v>
      </c>
      <c r="C667" s="77" t="s">
        <v>24</v>
      </c>
      <c r="D667" s="37" t="s">
        <v>3035</v>
      </c>
      <c r="E667" s="84" t="s">
        <v>3021</v>
      </c>
      <c r="F667" s="79" t="s">
        <v>159</v>
      </c>
      <c r="G667" s="79" t="s">
        <v>3026</v>
      </c>
      <c r="H667" s="79" t="s">
        <v>24</v>
      </c>
      <c r="I667" s="79" t="s">
        <v>3036</v>
      </c>
      <c r="J667" s="51">
        <v>5.33</v>
      </c>
      <c r="K667" s="51">
        <v>180</v>
      </c>
      <c r="L667" s="80" t="s">
        <v>3029</v>
      </c>
      <c r="M667" s="80" t="s">
        <v>3030</v>
      </c>
      <c r="N667" s="125" t="s">
        <v>230</v>
      </c>
      <c r="O667" s="51">
        <v>194.91</v>
      </c>
      <c r="P667" s="51">
        <v>15.87</v>
      </c>
      <c r="Q667" s="51">
        <f>SUM(O667:P667)</f>
        <v>210.78</v>
      </c>
      <c r="R667" s="51">
        <v>336.54</v>
      </c>
      <c r="S667" s="51">
        <v>5.33</v>
      </c>
      <c r="T667" s="83" t="s">
        <v>142</v>
      </c>
      <c r="U667" s="140" t="s">
        <v>143</v>
      </c>
    </row>
    <row r="668" spans="1:21" ht="71.25">
      <c r="A668" s="77">
        <v>4</v>
      </c>
      <c r="B668" s="79" t="s">
        <v>185</v>
      </c>
      <c r="C668" s="77" t="s">
        <v>24</v>
      </c>
      <c r="D668" s="36" t="s">
        <v>3037</v>
      </c>
      <c r="E668" s="84" t="s">
        <v>3013</v>
      </c>
      <c r="F668" s="79" t="s">
        <v>135</v>
      </c>
      <c r="G668" s="79" t="s">
        <v>3014</v>
      </c>
      <c r="H668" s="80" t="s">
        <v>3014</v>
      </c>
      <c r="I668" s="79" t="s">
        <v>3038</v>
      </c>
      <c r="J668" s="51">
        <v>9.14</v>
      </c>
      <c r="K668" s="51">
        <v>94.74</v>
      </c>
      <c r="L668" s="90" t="s">
        <v>2647</v>
      </c>
      <c r="M668" s="90" t="s">
        <v>526</v>
      </c>
      <c r="N668" s="90" t="s">
        <v>526</v>
      </c>
      <c r="O668" s="86">
        <v>85.82</v>
      </c>
      <c r="P668" s="86">
        <v>0</v>
      </c>
      <c r="Q668" s="86">
        <f>SUM(O668:P668)</f>
        <v>85.82</v>
      </c>
      <c r="R668" s="86">
        <f>85.59+0.11+36.25</f>
        <v>121.95</v>
      </c>
      <c r="S668" s="51">
        <v>9.14</v>
      </c>
      <c r="T668" s="83" t="s">
        <v>142</v>
      </c>
      <c r="U668" s="83" t="s">
        <v>143</v>
      </c>
    </row>
    <row r="669" spans="1:21" ht="128.25">
      <c r="A669" s="77">
        <v>4</v>
      </c>
      <c r="B669" s="79" t="s">
        <v>185</v>
      </c>
      <c r="C669" s="77" t="s">
        <v>24</v>
      </c>
      <c r="D669" s="36" t="s">
        <v>3039</v>
      </c>
      <c r="E669" s="84" t="s">
        <v>3016</v>
      </c>
      <c r="F669" s="79" t="s">
        <v>135</v>
      </c>
      <c r="G669" s="79" t="s">
        <v>3019</v>
      </c>
      <c r="H669" s="80" t="s">
        <v>3014</v>
      </c>
      <c r="I669" s="79" t="s">
        <v>3033</v>
      </c>
      <c r="J669" s="51">
        <v>8.77</v>
      </c>
      <c r="K669" s="51">
        <v>96.78</v>
      </c>
      <c r="L669" s="90" t="s">
        <v>3040</v>
      </c>
      <c r="M669" s="90" t="s">
        <v>526</v>
      </c>
      <c r="N669" s="90" t="s">
        <v>526</v>
      </c>
      <c r="O669" s="86">
        <v>31.9</v>
      </c>
      <c r="P669" s="86">
        <v>5.25</v>
      </c>
      <c r="Q669" s="86">
        <f aca="true" t="shared" si="35" ref="Q669:Q674">SUM(O669:P669)</f>
        <v>37.15</v>
      </c>
      <c r="R669" s="86">
        <v>56.1</v>
      </c>
      <c r="S669" s="51">
        <v>8.77</v>
      </c>
      <c r="T669" s="83" t="s">
        <v>3041</v>
      </c>
      <c r="U669" s="83" t="s">
        <v>143</v>
      </c>
    </row>
    <row r="670" spans="1:21" ht="128.25">
      <c r="A670" s="77">
        <v>5</v>
      </c>
      <c r="B670" s="79" t="s">
        <v>185</v>
      </c>
      <c r="C670" s="77" t="s">
        <v>24</v>
      </c>
      <c r="D670" s="36" t="s">
        <v>3042</v>
      </c>
      <c r="E670" s="84" t="s">
        <v>3043</v>
      </c>
      <c r="F670" s="79" t="s">
        <v>175</v>
      </c>
      <c r="G670" s="79" t="s">
        <v>3014</v>
      </c>
      <c r="H670" s="80" t="s">
        <v>3014</v>
      </c>
      <c r="I670" s="79" t="s">
        <v>3038</v>
      </c>
      <c r="J670" s="86" t="s">
        <v>141</v>
      </c>
      <c r="K670" s="86">
        <v>82.66</v>
      </c>
      <c r="L670" s="90" t="s">
        <v>3044</v>
      </c>
      <c r="M670" s="90" t="s">
        <v>216</v>
      </c>
      <c r="N670" s="90" t="s">
        <v>230</v>
      </c>
      <c r="O670" s="86">
        <v>90.88</v>
      </c>
      <c r="P670" s="86">
        <v>19.57</v>
      </c>
      <c r="Q670" s="86">
        <f t="shared" si="35"/>
        <v>110.44999999999999</v>
      </c>
      <c r="R670" s="86">
        <v>108.69</v>
      </c>
      <c r="S670" s="86" t="s">
        <v>141</v>
      </c>
      <c r="T670" s="83" t="s">
        <v>142</v>
      </c>
      <c r="U670" s="83" t="s">
        <v>143</v>
      </c>
    </row>
    <row r="671" spans="1:21" ht="156.75">
      <c r="A671" s="77">
        <v>5</v>
      </c>
      <c r="B671" s="79" t="s">
        <v>185</v>
      </c>
      <c r="C671" s="77" t="s">
        <v>24</v>
      </c>
      <c r="D671" s="36" t="s">
        <v>3045</v>
      </c>
      <c r="E671" s="84" t="s">
        <v>3046</v>
      </c>
      <c r="F671" s="79" t="s">
        <v>175</v>
      </c>
      <c r="G671" s="79" t="s">
        <v>3019</v>
      </c>
      <c r="H671" s="80" t="s">
        <v>3014</v>
      </c>
      <c r="I671" s="79" t="s">
        <v>3047</v>
      </c>
      <c r="J671" s="86" t="s">
        <v>141</v>
      </c>
      <c r="K671" s="86">
        <v>78.28</v>
      </c>
      <c r="L671" s="90" t="s">
        <v>3044</v>
      </c>
      <c r="M671" s="90" t="s">
        <v>3048</v>
      </c>
      <c r="N671" s="90" t="s">
        <v>273</v>
      </c>
      <c r="O671" s="86">
        <v>74.22</v>
      </c>
      <c r="P671" s="86">
        <v>54.85</v>
      </c>
      <c r="Q671" s="86">
        <f t="shared" si="35"/>
        <v>129.07</v>
      </c>
      <c r="R671" s="86">
        <v>109.58</v>
      </c>
      <c r="S671" s="86" t="s">
        <v>141</v>
      </c>
      <c r="T671" s="83" t="s">
        <v>142</v>
      </c>
      <c r="U671" s="83" t="s">
        <v>143</v>
      </c>
    </row>
    <row r="672" spans="1:21" ht="185.25">
      <c r="A672" s="77">
        <v>4</v>
      </c>
      <c r="B672" s="79" t="s">
        <v>185</v>
      </c>
      <c r="C672" s="77" t="s">
        <v>24</v>
      </c>
      <c r="D672" s="36" t="s">
        <v>3049</v>
      </c>
      <c r="E672" s="84" t="s">
        <v>3050</v>
      </c>
      <c r="F672" s="79" t="s">
        <v>175</v>
      </c>
      <c r="G672" s="79" t="s">
        <v>3026</v>
      </c>
      <c r="H672" s="79" t="s">
        <v>24</v>
      </c>
      <c r="I672" s="79" t="s">
        <v>3051</v>
      </c>
      <c r="J672" s="86" t="s">
        <v>141</v>
      </c>
      <c r="K672" s="86">
        <v>75.54</v>
      </c>
      <c r="L672" s="90" t="s">
        <v>3052</v>
      </c>
      <c r="M672" s="90" t="s">
        <v>1191</v>
      </c>
      <c r="N672" s="90" t="s">
        <v>1191</v>
      </c>
      <c r="O672" s="86">
        <v>75.3</v>
      </c>
      <c r="P672" s="86">
        <v>11.55</v>
      </c>
      <c r="Q672" s="86">
        <f t="shared" si="35"/>
        <v>86.85</v>
      </c>
      <c r="R672" s="86">
        <v>80</v>
      </c>
      <c r="S672" s="86" t="s">
        <v>141</v>
      </c>
      <c r="T672" s="83" t="s">
        <v>142</v>
      </c>
      <c r="U672" s="83" t="s">
        <v>261</v>
      </c>
    </row>
    <row r="673" spans="1:21" ht="171">
      <c r="A673" s="77">
        <v>5</v>
      </c>
      <c r="B673" s="79" t="s">
        <v>185</v>
      </c>
      <c r="C673" s="77" t="s">
        <v>24</v>
      </c>
      <c r="D673" s="36" t="s">
        <v>3053</v>
      </c>
      <c r="E673" s="84" t="s">
        <v>3054</v>
      </c>
      <c r="F673" s="79" t="s">
        <v>175</v>
      </c>
      <c r="G673" s="79" t="s">
        <v>3026</v>
      </c>
      <c r="H673" s="79" t="s">
        <v>24</v>
      </c>
      <c r="I673" s="183" t="s">
        <v>2653</v>
      </c>
      <c r="J673" s="86" t="s">
        <v>141</v>
      </c>
      <c r="K673" s="86">
        <v>120.24</v>
      </c>
      <c r="L673" s="90" t="s">
        <v>3055</v>
      </c>
      <c r="M673" s="90" t="s">
        <v>543</v>
      </c>
      <c r="N673" s="90" t="s">
        <v>543</v>
      </c>
      <c r="O673" s="86">
        <v>118.04</v>
      </c>
      <c r="P673" s="86">
        <v>32.71</v>
      </c>
      <c r="Q673" s="86">
        <f t="shared" si="35"/>
        <v>150.75</v>
      </c>
      <c r="R673" s="86">
        <v>146.42</v>
      </c>
      <c r="S673" s="86" t="s">
        <v>141</v>
      </c>
      <c r="T673" s="83" t="s">
        <v>142</v>
      </c>
      <c r="U673" s="83" t="s">
        <v>261</v>
      </c>
    </row>
    <row r="674" spans="1:21" ht="313.5">
      <c r="A674" s="77">
        <v>6</v>
      </c>
      <c r="B674" s="79" t="s">
        <v>185</v>
      </c>
      <c r="C674" s="77" t="s">
        <v>24</v>
      </c>
      <c r="D674" s="36" t="s">
        <v>3056</v>
      </c>
      <c r="E674" s="84" t="s">
        <v>3057</v>
      </c>
      <c r="F674" s="79" t="s">
        <v>175</v>
      </c>
      <c r="G674" s="79" t="s">
        <v>3026</v>
      </c>
      <c r="H674" s="79" t="s">
        <v>24</v>
      </c>
      <c r="I674" s="183"/>
      <c r="J674" s="86" t="s">
        <v>141</v>
      </c>
      <c r="K674" s="86">
        <v>104.8</v>
      </c>
      <c r="L674" s="90" t="s">
        <v>3029</v>
      </c>
      <c r="M674" s="90" t="s">
        <v>1207</v>
      </c>
      <c r="N674" s="90" t="s">
        <v>1207</v>
      </c>
      <c r="O674" s="86">
        <v>61.24</v>
      </c>
      <c r="P674" s="86">
        <v>0</v>
      </c>
      <c r="Q674" s="86">
        <f t="shared" si="35"/>
        <v>61.24</v>
      </c>
      <c r="R674" s="86">
        <v>0</v>
      </c>
      <c r="S674" s="86" t="s">
        <v>141</v>
      </c>
      <c r="T674" s="83" t="s">
        <v>142</v>
      </c>
      <c r="U674" s="83" t="s">
        <v>261</v>
      </c>
    </row>
    <row r="675" spans="1:21" ht="90">
      <c r="A675" s="77">
        <v>6</v>
      </c>
      <c r="B675" s="79" t="s">
        <v>202</v>
      </c>
      <c r="C675" s="77" t="s">
        <v>24</v>
      </c>
      <c r="D675" s="37" t="s">
        <v>3058</v>
      </c>
      <c r="E675" s="84" t="s">
        <v>3013</v>
      </c>
      <c r="F675" s="79" t="s">
        <v>135</v>
      </c>
      <c r="G675" s="79" t="s">
        <v>3019</v>
      </c>
      <c r="H675" s="80" t="s">
        <v>3014</v>
      </c>
      <c r="I675" s="79" t="s">
        <v>1368</v>
      </c>
      <c r="J675" s="80">
        <v>5.88</v>
      </c>
      <c r="K675" s="80">
        <v>83.12</v>
      </c>
      <c r="L675" s="80" t="s">
        <v>3059</v>
      </c>
      <c r="M675" s="80"/>
      <c r="N675" s="80" t="s">
        <v>841</v>
      </c>
      <c r="O675" s="80">
        <v>81.46</v>
      </c>
      <c r="P675" s="80">
        <v>29.49</v>
      </c>
      <c r="Q675" s="80">
        <f>SUM(O675:P675)</f>
        <v>110.94999999999999</v>
      </c>
      <c r="R675" s="80">
        <v>106.26</v>
      </c>
      <c r="S675" s="80">
        <v>5.88</v>
      </c>
      <c r="T675" s="85" t="s">
        <v>142</v>
      </c>
      <c r="U675" s="85" t="s">
        <v>143</v>
      </c>
    </row>
    <row r="676" spans="1:21" ht="135">
      <c r="A676" s="77">
        <v>6</v>
      </c>
      <c r="B676" s="79" t="s">
        <v>202</v>
      </c>
      <c r="C676" s="77" t="s">
        <v>24</v>
      </c>
      <c r="D676" s="37" t="s">
        <v>3060</v>
      </c>
      <c r="E676" s="84" t="s">
        <v>3016</v>
      </c>
      <c r="F676" s="79" t="s">
        <v>135</v>
      </c>
      <c r="G676" s="79" t="s">
        <v>3014</v>
      </c>
      <c r="H676" s="80" t="s">
        <v>3014</v>
      </c>
      <c r="I676" s="79" t="s">
        <v>3061</v>
      </c>
      <c r="J676" s="80">
        <v>6.53</v>
      </c>
      <c r="K676" s="80">
        <v>110.68</v>
      </c>
      <c r="L676" s="80" t="s">
        <v>858</v>
      </c>
      <c r="M676" s="80"/>
      <c r="N676" s="80" t="s">
        <v>841</v>
      </c>
      <c r="O676" s="80">
        <v>95.77</v>
      </c>
      <c r="P676" s="80"/>
      <c r="Q676" s="80">
        <f>SUM(O676:P676)</f>
        <v>95.77</v>
      </c>
      <c r="R676" s="80">
        <v>105.12</v>
      </c>
      <c r="S676" s="80">
        <v>6.53</v>
      </c>
      <c r="T676" s="85" t="s">
        <v>142</v>
      </c>
      <c r="U676" s="85" t="s">
        <v>143</v>
      </c>
    </row>
    <row r="677" spans="1:21" ht="120">
      <c r="A677" s="77">
        <v>7</v>
      </c>
      <c r="B677" s="79" t="s">
        <v>202</v>
      </c>
      <c r="C677" s="77" t="s">
        <v>24</v>
      </c>
      <c r="D677" s="37" t="s">
        <v>3062</v>
      </c>
      <c r="E677" s="84" t="s">
        <v>3018</v>
      </c>
      <c r="F677" s="79" t="s">
        <v>135</v>
      </c>
      <c r="G677" s="79" t="s">
        <v>3026</v>
      </c>
      <c r="H677" s="79" t="s">
        <v>24</v>
      </c>
      <c r="I677" s="79" t="s">
        <v>2489</v>
      </c>
      <c r="J677" s="80">
        <v>2.99</v>
      </c>
      <c r="K677" s="80">
        <f>57.22</f>
        <v>57.22</v>
      </c>
      <c r="L677" s="80" t="s">
        <v>200</v>
      </c>
      <c r="M677" s="80" t="s">
        <v>3063</v>
      </c>
      <c r="N677" s="80" t="s">
        <v>201</v>
      </c>
      <c r="O677" s="80">
        <v>82.6</v>
      </c>
      <c r="P677" s="80">
        <v>26.64</v>
      </c>
      <c r="Q677" s="80">
        <f>SUM(O677:P677)</f>
        <v>109.24</v>
      </c>
      <c r="R677" s="80">
        <f>83.47+1.87</f>
        <v>85.34</v>
      </c>
      <c r="S677" s="80">
        <v>3.69</v>
      </c>
      <c r="T677" s="85" t="s">
        <v>142</v>
      </c>
      <c r="U677" s="85" t="s">
        <v>143</v>
      </c>
    </row>
    <row r="678" spans="1:21" ht="120">
      <c r="A678" s="77">
        <v>7</v>
      </c>
      <c r="B678" s="79" t="s">
        <v>202</v>
      </c>
      <c r="C678" s="77" t="s">
        <v>24</v>
      </c>
      <c r="D678" s="37" t="s">
        <v>3064</v>
      </c>
      <c r="E678" s="84" t="s">
        <v>3021</v>
      </c>
      <c r="F678" s="79" t="s">
        <v>135</v>
      </c>
      <c r="G678" s="79" t="s">
        <v>3019</v>
      </c>
      <c r="H678" s="79" t="s">
        <v>24</v>
      </c>
      <c r="I678" s="79" t="s">
        <v>3065</v>
      </c>
      <c r="J678" s="80">
        <v>18.79</v>
      </c>
      <c r="K678" s="80">
        <v>246.38</v>
      </c>
      <c r="L678" s="80" t="s">
        <v>3066</v>
      </c>
      <c r="M678" s="80"/>
      <c r="N678" s="80" t="s">
        <v>201</v>
      </c>
      <c r="O678" s="80">
        <v>244.31</v>
      </c>
      <c r="P678" s="80">
        <v>14.26</v>
      </c>
      <c r="Q678" s="80">
        <f>SUM(O678:P678)</f>
        <v>258.57</v>
      </c>
      <c r="R678" s="80">
        <f>292.88+2.28</f>
        <v>295.15999999999997</v>
      </c>
      <c r="S678" s="80">
        <v>18.79</v>
      </c>
      <c r="T678" s="85" t="s">
        <v>142</v>
      </c>
      <c r="U678" s="85" t="s">
        <v>143</v>
      </c>
    </row>
    <row r="679" spans="1:21" ht="150">
      <c r="A679" s="77">
        <v>8</v>
      </c>
      <c r="B679" s="79" t="s">
        <v>202</v>
      </c>
      <c r="C679" s="77" t="s">
        <v>24</v>
      </c>
      <c r="D679" s="37" t="s">
        <v>3067</v>
      </c>
      <c r="E679" s="84" t="s">
        <v>3025</v>
      </c>
      <c r="F679" s="79" t="s">
        <v>135</v>
      </c>
      <c r="G679" s="79" t="s">
        <v>3019</v>
      </c>
      <c r="H679" s="80" t="s">
        <v>3014</v>
      </c>
      <c r="I679" s="79" t="s">
        <v>3047</v>
      </c>
      <c r="J679" s="80">
        <v>8.82</v>
      </c>
      <c r="K679" s="80">
        <v>190.49</v>
      </c>
      <c r="L679" s="80" t="s">
        <v>1592</v>
      </c>
      <c r="M679" s="80"/>
      <c r="N679" s="80" t="s">
        <v>533</v>
      </c>
      <c r="O679" s="80">
        <v>227.52</v>
      </c>
      <c r="P679" s="80"/>
      <c r="Q679" s="80">
        <f>SUM(O679:P679)</f>
        <v>227.52</v>
      </c>
      <c r="R679" s="80">
        <v>340.81</v>
      </c>
      <c r="S679" s="80">
        <v>8.82</v>
      </c>
      <c r="T679" s="85" t="s">
        <v>142</v>
      </c>
      <c r="U679" s="85" t="s">
        <v>143</v>
      </c>
    </row>
    <row r="680" spans="1:21" ht="142.5">
      <c r="A680" s="77">
        <v>7</v>
      </c>
      <c r="B680" s="79" t="s">
        <v>221</v>
      </c>
      <c r="C680" s="77" t="s">
        <v>24</v>
      </c>
      <c r="D680" s="36" t="s">
        <v>3068</v>
      </c>
      <c r="E680" s="51" t="s">
        <v>3013</v>
      </c>
      <c r="F680" s="79" t="s">
        <v>135</v>
      </c>
      <c r="G680" s="52" t="s">
        <v>3014</v>
      </c>
      <c r="H680" s="80" t="s">
        <v>3014</v>
      </c>
      <c r="I680" s="79" t="s">
        <v>3033</v>
      </c>
      <c r="J680" s="80">
        <v>15.77</v>
      </c>
      <c r="K680" s="80">
        <v>199.99</v>
      </c>
      <c r="L680" s="80" t="s">
        <v>3069</v>
      </c>
      <c r="M680" s="80" t="s">
        <v>3070</v>
      </c>
      <c r="N680" s="80" t="s">
        <v>220</v>
      </c>
      <c r="O680" s="80">
        <v>227.14</v>
      </c>
      <c r="P680" s="80"/>
      <c r="Q680" s="80">
        <f>SUM(O680:P680)</f>
        <v>227.14</v>
      </c>
      <c r="R680" s="80">
        <f>222.27+1.59</f>
        <v>223.86</v>
      </c>
      <c r="S680" s="80">
        <v>15.77</v>
      </c>
      <c r="T680" s="83" t="s">
        <v>142</v>
      </c>
      <c r="U680" s="85" t="s">
        <v>143</v>
      </c>
    </row>
    <row r="681" spans="1:21" ht="57">
      <c r="A681" s="77">
        <v>8</v>
      </c>
      <c r="B681" s="79" t="s">
        <v>221</v>
      </c>
      <c r="C681" s="77" t="s">
        <v>24</v>
      </c>
      <c r="D681" s="36" t="s">
        <v>3071</v>
      </c>
      <c r="E681" s="51" t="s">
        <v>3016</v>
      </c>
      <c r="F681" s="79" t="s">
        <v>135</v>
      </c>
      <c r="G681" s="52" t="s">
        <v>3026</v>
      </c>
      <c r="H681" s="52" t="s">
        <v>24</v>
      </c>
      <c r="I681" s="79" t="s">
        <v>3072</v>
      </c>
      <c r="J681" s="80">
        <v>6.48</v>
      </c>
      <c r="K681" s="80">
        <v>167.97</v>
      </c>
      <c r="L681" s="80" t="s">
        <v>2255</v>
      </c>
      <c r="M681" s="80" t="s">
        <v>3073</v>
      </c>
      <c r="N681" s="80" t="s">
        <v>841</v>
      </c>
      <c r="O681" s="80">
        <v>157.59</v>
      </c>
      <c r="P681" s="80"/>
      <c r="Q681" s="80">
        <f>SUM(O681:P681)</f>
        <v>157.59</v>
      </c>
      <c r="R681" s="80">
        <f>161.29+2.18</f>
        <v>163.47</v>
      </c>
      <c r="S681" s="80">
        <v>6.48</v>
      </c>
      <c r="T681" s="83" t="s">
        <v>142</v>
      </c>
      <c r="U681" s="85" t="s">
        <v>143</v>
      </c>
    </row>
    <row r="682" spans="1:21" ht="99.75">
      <c r="A682" s="77">
        <v>9</v>
      </c>
      <c r="B682" s="79" t="s">
        <v>221</v>
      </c>
      <c r="C682" s="77" t="s">
        <v>24</v>
      </c>
      <c r="D682" s="36" t="s">
        <v>3074</v>
      </c>
      <c r="E682" s="51" t="s">
        <v>3018</v>
      </c>
      <c r="F682" s="79" t="s">
        <v>135</v>
      </c>
      <c r="G682" s="52" t="s">
        <v>3019</v>
      </c>
      <c r="H682" s="52" t="s">
        <v>24</v>
      </c>
      <c r="I682" s="79" t="s">
        <v>3072</v>
      </c>
      <c r="J682" s="80">
        <v>8.05</v>
      </c>
      <c r="K682" s="80">
        <v>170.22</v>
      </c>
      <c r="L682" s="80" t="s">
        <v>2291</v>
      </c>
      <c r="M682" s="80" t="s">
        <v>3075</v>
      </c>
      <c r="N682" s="80" t="s">
        <v>322</v>
      </c>
      <c r="O682" s="80">
        <v>157.84</v>
      </c>
      <c r="P682" s="80">
        <v>17.09</v>
      </c>
      <c r="Q682" s="80">
        <f>SUM(O682:P682)</f>
        <v>174.93</v>
      </c>
      <c r="R682" s="80">
        <v>190.74</v>
      </c>
      <c r="S682" s="80">
        <v>8.05</v>
      </c>
      <c r="T682" s="83" t="s">
        <v>142</v>
      </c>
      <c r="U682" s="85" t="s">
        <v>143</v>
      </c>
    </row>
    <row r="683" spans="1:21" ht="90">
      <c r="A683" s="77">
        <v>8</v>
      </c>
      <c r="B683" s="79" t="s">
        <v>279</v>
      </c>
      <c r="C683" s="77" t="s">
        <v>24</v>
      </c>
      <c r="D683" s="37" t="s">
        <v>3088</v>
      </c>
      <c r="E683" s="51" t="s">
        <v>3013</v>
      </c>
      <c r="F683" s="79" t="s">
        <v>135</v>
      </c>
      <c r="G683" s="79" t="s">
        <v>3014</v>
      </c>
      <c r="H683" s="80" t="s">
        <v>3014</v>
      </c>
      <c r="I683" s="79" t="s">
        <v>2755</v>
      </c>
      <c r="J683" s="80">
        <v>16.01</v>
      </c>
      <c r="K683" s="80">
        <v>416.8</v>
      </c>
      <c r="L683" s="79" t="s">
        <v>1793</v>
      </c>
      <c r="M683" s="79" t="s">
        <v>3089</v>
      </c>
      <c r="N683" s="79" t="s">
        <v>405</v>
      </c>
      <c r="O683" s="80">
        <v>403.47</v>
      </c>
      <c r="P683" s="80"/>
      <c r="Q683" s="80">
        <f>SUM(O683:P683)</f>
        <v>403.47</v>
      </c>
      <c r="R683" s="80">
        <v>328.03</v>
      </c>
      <c r="S683" s="80">
        <v>16.01</v>
      </c>
      <c r="T683" s="92" t="s">
        <v>142</v>
      </c>
      <c r="U683" s="83" t="s">
        <v>143</v>
      </c>
    </row>
    <row r="684" spans="1:21" ht="120">
      <c r="A684" s="77">
        <v>9</v>
      </c>
      <c r="B684" s="79" t="s">
        <v>279</v>
      </c>
      <c r="C684" s="77" t="s">
        <v>24</v>
      </c>
      <c r="D684" s="37" t="s">
        <v>3090</v>
      </c>
      <c r="E684" s="51" t="s">
        <v>3016</v>
      </c>
      <c r="F684" s="79" t="s">
        <v>135</v>
      </c>
      <c r="G684" s="79" t="s">
        <v>3014</v>
      </c>
      <c r="H684" s="80" t="s">
        <v>3014</v>
      </c>
      <c r="I684" s="79" t="s">
        <v>3091</v>
      </c>
      <c r="J684" s="80">
        <v>3.65</v>
      </c>
      <c r="K684" s="80">
        <v>73.25</v>
      </c>
      <c r="L684" s="79" t="s">
        <v>1180</v>
      </c>
      <c r="M684" s="79" t="s">
        <v>2740</v>
      </c>
      <c r="N684" s="79" t="s">
        <v>671</v>
      </c>
      <c r="O684" s="80">
        <v>65.56</v>
      </c>
      <c r="P684" s="80"/>
      <c r="Q684" s="80">
        <f>SUM(O684:P684)</f>
        <v>65.56</v>
      </c>
      <c r="R684" s="80">
        <f>62.65+0.46</f>
        <v>63.11</v>
      </c>
      <c r="S684" s="80">
        <v>3.65</v>
      </c>
      <c r="T684" s="83" t="s">
        <v>142</v>
      </c>
      <c r="U684" s="83" t="s">
        <v>143</v>
      </c>
    </row>
    <row r="685" spans="1:21" ht="75">
      <c r="A685" s="77">
        <v>9</v>
      </c>
      <c r="B685" s="79" t="s">
        <v>279</v>
      </c>
      <c r="C685" s="77" t="s">
        <v>24</v>
      </c>
      <c r="D685" s="37" t="s">
        <v>3113</v>
      </c>
      <c r="E685" s="51" t="s">
        <v>3114</v>
      </c>
      <c r="F685" s="79" t="s">
        <v>135</v>
      </c>
      <c r="G685" s="79" t="s">
        <v>3026</v>
      </c>
      <c r="H685" s="79" t="s">
        <v>24</v>
      </c>
      <c r="I685" s="79" t="s">
        <v>1087</v>
      </c>
      <c r="J685" s="116">
        <v>5.86</v>
      </c>
      <c r="K685" s="80">
        <v>166.37</v>
      </c>
      <c r="L685" s="79" t="s">
        <v>2884</v>
      </c>
      <c r="M685" s="79" t="s">
        <v>2885</v>
      </c>
      <c r="N685" s="79" t="s">
        <v>666</v>
      </c>
      <c r="O685" s="80">
        <v>163.56</v>
      </c>
      <c r="P685" s="80"/>
      <c r="Q685" s="80">
        <f>SUM(O685:P685)</f>
        <v>163.56</v>
      </c>
      <c r="R685" s="80">
        <v>149.57</v>
      </c>
      <c r="S685" s="80">
        <v>5.86</v>
      </c>
      <c r="T685" s="92" t="s">
        <v>142</v>
      </c>
      <c r="U685" s="83" t="s">
        <v>3115</v>
      </c>
    </row>
    <row r="686" spans="1:21" ht="105">
      <c r="A686" s="77">
        <v>10</v>
      </c>
      <c r="B686" s="79" t="s">
        <v>279</v>
      </c>
      <c r="C686" s="77" t="s">
        <v>24</v>
      </c>
      <c r="D686" s="37" t="s">
        <v>3116</v>
      </c>
      <c r="E686" s="51" t="s">
        <v>3117</v>
      </c>
      <c r="F686" s="79" t="s">
        <v>135</v>
      </c>
      <c r="G686" s="79" t="s">
        <v>3026</v>
      </c>
      <c r="H686" s="79" t="s">
        <v>24</v>
      </c>
      <c r="I686" s="79" t="s">
        <v>3118</v>
      </c>
      <c r="J686" s="80">
        <v>4.12</v>
      </c>
      <c r="K686" s="80">
        <v>136.23</v>
      </c>
      <c r="L686" s="79" t="s">
        <v>3104</v>
      </c>
      <c r="M686" s="79" t="s">
        <v>3105</v>
      </c>
      <c r="N686" s="79" t="s">
        <v>308</v>
      </c>
      <c r="O686" s="80">
        <v>142.02</v>
      </c>
      <c r="P686" s="80"/>
      <c r="Q686" s="80">
        <f>SUM(O686:P686)</f>
        <v>142.02</v>
      </c>
      <c r="R686" s="80">
        <f>90.8+15.84</f>
        <v>106.64</v>
      </c>
      <c r="S686" s="80">
        <v>4.12</v>
      </c>
      <c r="T686" s="83" t="s">
        <v>142</v>
      </c>
      <c r="U686" s="83" t="s">
        <v>1258</v>
      </c>
    </row>
    <row r="687" spans="1:21" ht="120">
      <c r="A687" s="77">
        <v>10</v>
      </c>
      <c r="B687" s="79" t="s">
        <v>279</v>
      </c>
      <c r="C687" s="77" t="s">
        <v>24</v>
      </c>
      <c r="D687" s="37" t="s">
        <v>3119</v>
      </c>
      <c r="E687" s="51" t="s">
        <v>3120</v>
      </c>
      <c r="F687" s="79" t="s">
        <v>135</v>
      </c>
      <c r="G687" s="79" t="s">
        <v>3014</v>
      </c>
      <c r="H687" s="80" t="s">
        <v>3014</v>
      </c>
      <c r="I687" s="79" t="s">
        <v>3081</v>
      </c>
      <c r="J687" s="80">
        <v>5.87</v>
      </c>
      <c r="K687" s="80">
        <v>164.07</v>
      </c>
      <c r="L687" s="79" t="s">
        <v>3104</v>
      </c>
      <c r="M687" s="79" t="s">
        <v>3105</v>
      </c>
      <c r="N687" s="79" t="s">
        <v>1058</v>
      </c>
      <c r="O687" s="80">
        <v>164.49</v>
      </c>
      <c r="P687" s="80"/>
      <c r="Q687" s="80">
        <f>SUM(O687:P687)</f>
        <v>164.49</v>
      </c>
      <c r="R687" s="80">
        <f>10.72+148.13</f>
        <v>158.85</v>
      </c>
      <c r="S687" s="80">
        <v>5.87</v>
      </c>
      <c r="T687" s="83" t="s">
        <v>142</v>
      </c>
      <c r="U687" s="83" t="s">
        <v>143</v>
      </c>
    </row>
    <row r="688" spans="1:21" ht="165">
      <c r="A688" s="77">
        <v>10</v>
      </c>
      <c r="B688" s="79" t="s">
        <v>279</v>
      </c>
      <c r="C688" s="77" t="s">
        <v>24</v>
      </c>
      <c r="D688" s="37" t="s">
        <v>3126</v>
      </c>
      <c r="E688" s="51" t="s">
        <v>3127</v>
      </c>
      <c r="F688" s="79" t="s">
        <v>135</v>
      </c>
      <c r="G688" s="79" t="s">
        <v>3019</v>
      </c>
      <c r="H688" s="79" t="s">
        <v>24</v>
      </c>
      <c r="I688" s="79" t="s">
        <v>2538</v>
      </c>
      <c r="J688" s="116">
        <v>3.55</v>
      </c>
      <c r="K688" s="80">
        <v>111.51</v>
      </c>
      <c r="L688" s="79" t="s">
        <v>306</v>
      </c>
      <c r="M688" s="79" t="s">
        <v>3128</v>
      </c>
      <c r="N688" s="79" t="s">
        <v>308</v>
      </c>
      <c r="O688" s="80">
        <v>69.75</v>
      </c>
      <c r="P688" s="80"/>
      <c r="Q688" s="80">
        <f>SUM(O688:P688)</f>
        <v>69.75</v>
      </c>
      <c r="R688" s="80">
        <f>73.96+1.62</f>
        <v>75.58</v>
      </c>
      <c r="S688" s="80">
        <v>3.55</v>
      </c>
      <c r="T688" s="83" t="s">
        <v>142</v>
      </c>
      <c r="U688" s="83" t="s">
        <v>143</v>
      </c>
    </row>
    <row r="689" spans="1:21" ht="180">
      <c r="A689" s="77">
        <v>11</v>
      </c>
      <c r="B689" s="79" t="s">
        <v>279</v>
      </c>
      <c r="C689" s="77" t="s">
        <v>24</v>
      </c>
      <c r="D689" s="37" t="s">
        <v>3131</v>
      </c>
      <c r="E689" s="51" t="s">
        <v>3132</v>
      </c>
      <c r="F689" s="79" t="s">
        <v>135</v>
      </c>
      <c r="G689" s="79" t="s">
        <v>3019</v>
      </c>
      <c r="H689" s="79" t="s">
        <v>24</v>
      </c>
      <c r="I689" s="79" t="s">
        <v>3133</v>
      </c>
      <c r="J689" s="116">
        <v>5.01</v>
      </c>
      <c r="K689" s="80">
        <v>162.05</v>
      </c>
      <c r="L689" s="79" t="s">
        <v>3134</v>
      </c>
      <c r="M689" s="79" t="s">
        <v>3135</v>
      </c>
      <c r="N689" s="79" t="s">
        <v>666</v>
      </c>
      <c r="O689" s="80">
        <v>130.28</v>
      </c>
      <c r="P689" s="80"/>
      <c r="Q689" s="80">
        <f>SUM(O689:P689)</f>
        <v>130.28</v>
      </c>
      <c r="R689" s="80">
        <v>120.16</v>
      </c>
      <c r="S689" s="80">
        <v>5.01</v>
      </c>
      <c r="T689" s="92" t="s">
        <v>142</v>
      </c>
      <c r="U689" s="83" t="s">
        <v>143</v>
      </c>
    </row>
    <row r="690" spans="1:21" ht="178.5">
      <c r="A690" s="77">
        <v>12</v>
      </c>
      <c r="B690" s="79" t="s">
        <v>313</v>
      </c>
      <c r="C690" s="77" t="s">
        <v>24</v>
      </c>
      <c r="D690" s="66" t="s">
        <v>3142</v>
      </c>
      <c r="E690" s="43" t="s">
        <v>3013</v>
      </c>
      <c r="F690" s="53" t="s">
        <v>175</v>
      </c>
      <c r="G690" s="53" t="s">
        <v>3019</v>
      </c>
      <c r="H690" s="53" t="s">
        <v>24</v>
      </c>
      <c r="I690" s="53" t="s">
        <v>2730</v>
      </c>
      <c r="J690" s="165" t="s">
        <v>141</v>
      </c>
      <c r="K690" s="68">
        <v>82.38</v>
      </c>
      <c r="L690" s="68" t="s">
        <v>1240</v>
      </c>
      <c r="M690" s="68" t="s">
        <v>3143</v>
      </c>
      <c r="N690" s="68" t="s">
        <v>322</v>
      </c>
      <c r="O690" s="68">
        <v>75.76</v>
      </c>
      <c r="P690" s="68"/>
      <c r="Q690" s="68">
        <f>SUM(O690:P690)</f>
        <v>75.76</v>
      </c>
      <c r="R690" s="80">
        <f>76.83+1.34</f>
        <v>78.17</v>
      </c>
      <c r="S690" s="80" t="s">
        <v>141</v>
      </c>
      <c r="T690" s="56" t="s">
        <v>142</v>
      </c>
      <c r="U690" s="56" t="s">
        <v>261</v>
      </c>
    </row>
    <row r="691" spans="1:21" ht="76.5">
      <c r="A691" s="77">
        <v>13</v>
      </c>
      <c r="B691" s="79" t="s">
        <v>415</v>
      </c>
      <c r="C691" s="77" t="s">
        <v>24</v>
      </c>
      <c r="D691" s="64" t="s">
        <v>3153</v>
      </c>
      <c r="E691" s="60" t="s">
        <v>3025</v>
      </c>
      <c r="F691" s="60" t="s">
        <v>159</v>
      </c>
      <c r="G691" s="60" t="s">
        <v>3019</v>
      </c>
      <c r="H691" s="41" t="s">
        <v>3014</v>
      </c>
      <c r="I691" s="41" t="s">
        <v>1003</v>
      </c>
      <c r="J691" s="40">
        <v>6</v>
      </c>
      <c r="K691" s="40">
        <v>211.31</v>
      </c>
      <c r="L691" s="63" t="s">
        <v>3154</v>
      </c>
      <c r="M691" s="63" t="s">
        <v>326</v>
      </c>
      <c r="N691" s="63" t="s">
        <v>103</v>
      </c>
      <c r="O691" s="77"/>
      <c r="P691" s="77"/>
      <c r="Q691" s="78">
        <v>215.37</v>
      </c>
      <c r="R691" s="78">
        <v>143.58</v>
      </c>
      <c r="S691" s="78">
        <v>6</v>
      </c>
      <c r="T691" s="65" t="s">
        <v>397</v>
      </c>
      <c r="U691" s="63" t="s">
        <v>141</v>
      </c>
    </row>
    <row r="835" ht="12.75"/>
    <row r="836" ht="12.75"/>
    <row r="837" ht="12.75"/>
    <row r="838" ht="12.75"/>
    <row r="839" ht="12.75"/>
    <row r="900" ht="12.75"/>
    <row r="901" ht="12.75"/>
    <row r="902" ht="12.75"/>
    <row r="903" ht="12.75"/>
    <row r="904" ht="12.75"/>
    <row r="905" ht="12.75"/>
    <row r="982" ht="12.75"/>
    <row r="983" ht="12.75"/>
    <row r="984" ht="12.75"/>
    <row r="1255" ht="12.75"/>
    <row r="1256" ht="12.75"/>
    <row r="1257" ht="12.75"/>
    <row r="1258" ht="12.75"/>
    <row r="2456" ht="12.75"/>
    <row r="2457" ht="12.75"/>
    <row r="2458" ht="12.75"/>
    <row r="2459" ht="12.75"/>
    <row r="2460" ht="12.75"/>
    <row r="2461" ht="12.75"/>
    <row r="2462" ht="12.75"/>
    <row r="2705" ht="12.75"/>
    <row r="2706" ht="12.75"/>
    <row r="2707" ht="12.75"/>
    <row r="2708" ht="12.75"/>
    <row r="2786" ht="12.75"/>
    <row r="2787" ht="12.75"/>
    <row r="2788" ht="12.75"/>
    <row r="2789" ht="12.75"/>
    <row r="2791" ht="12.75"/>
    <row r="2792" ht="12.75"/>
    <row r="2793" ht="12.75"/>
    <row r="2818" ht="12.75"/>
    <row r="2819" ht="12.75"/>
    <row r="2904" ht="12.75"/>
    <row r="2905" ht="12.75"/>
    <row r="2906" ht="12.75"/>
    <row r="3606" ht="12.75"/>
    <row r="3607" ht="12.75"/>
    <row r="3608" ht="12.75"/>
    <row r="3609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78" ht="12.75"/>
    <row r="3679" ht="12.75"/>
    <row r="3680" ht="12.75"/>
    <row r="3681" ht="12.75"/>
  </sheetData>
  <sheetProtection password="A8D0" sheet="1" objects="1" scenarios="1"/>
  <mergeCells count="215">
    <mergeCell ref="N3:N4"/>
    <mergeCell ref="O3:Q3"/>
    <mergeCell ref="N8:N9"/>
    <mergeCell ref="O8:O9"/>
    <mergeCell ref="R8:R9"/>
    <mergeCell ref="A1:U1"/>
    <mergeCell ref="A2:C2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  <mergeCell ref="E8:E9"/>
    <mergeCell ref="I8:I9"/>
    <mergeCell ref="K8:K9"/>
    <mergeCell ref="L8:L9"/>
    <mergeCell ref="M8:M9"/>
    <mergeCell ref="I3:I4"/>
    <mergeCell ref="J3:J4"/>
    <mergeCell ref="K3:K4"/>
    <mergeCell ref="L3:M3"/>
    <mergeCell ref="R16:R17"/>
    <mergeCell ref="I19:I20"/>
    <mergeCell ref="L19:L20"/>
    <mergeCell ref="M19:M20"/>
    <mergeCell ref="E23:E24"/>
    <mergeCell ref="L23:L24"/>
    <mergeCell ref="M23:M24"/>
    <mergeCell ref="R67:R68"/>
    <mergeCell ref="E71:E72"/>
    <mergeCell ref="K71:K72"/>
    <mergeCell ref="N71:N72"/>
    <mergeCell ref="I16:I17"/>
    <mergeCell ref="K16:K17"/>
    <mergeCell ref="L16:L17"/>
    <mergeCell ref="M16:M17"/>
    <mergeCell ref="O16:O17"/>
    <mergeCell ref="P16:P17"/>
    <mergeCell ref="Q16:Q17"/>
    <mergeCell ref="E67:E68"/>
    <mergeCell ref="K67:K68"/>
    <mergeCell ref="L67:L68"/>
    <mergeCell ref="M67:M68"/>
    <mergeCell ref="N67:N68"/>
    <mergeCell ref="O67:O68"/>
    <mergeCell ref="A77:A78"/>
    <mergeCell ref="B77:B78"/>
    <mergeCell ref="E77:E78"/>
    <mergeCell ref="I77:I78"/>
    <mergeCell ref="N77:N78"/>
    <mergeCell ref="R77:R78"/>
    <mergeCell ref="U98:U101"/>
    <mergeCell ref="I91:I93"/>
    <mergeCell ref="L91:L93"/>
    <mergeCell ref="M91:M93"/>
    <mergeCell ref="U77:U78"/>
    <mergeCell ref="I84:I85"/>
    <mergeCell ref="L84:L85"/>
    <mergeCell ref="M84:M85"/>
    <mergeCell ref="U84:U85"/>
    <mergeCell ref="I86:I89"/>
    <mergeCell ref="L86:L89"/>
    <mergeCell ref="M86:M89"/>
    <mergeCell ref="I168:I169"/>
    <mergeCell ref="I94:I96"/>
    <mergeCell ref="L94:L96"/>
    <mergeCell ref="M94:M96"/>
    <mergeCell ref="I98:I100"/>
    <mergeCell ref="R98:R100"/>
    <mergeCell ref="E195:E196"/>
    <mergeCell ref="K195:K196"/>
    <mergeCell ref="N195:N196"/>
    <mergeCell ref="E198:E199"/>
    <mergeCell ref="I198:I199"/>
    <mergeCell ref="L198:L199"/>
    <mergeCell ref="M198:M199"/>
    <mergeCell ref="N198:N199"/>
    <mergeCell ref="E223:E225"/>
    <mergeCell ref="I223:I225"/>
    <mergeCell ref="K223:K225"/>
    <mergeCell ref="O223:O225"/>
    <mergeCell ref="E226:E229"/>
    <mergeCell ref="K226:K229"/>
    <mergeCell ref="O226:O229"/>
    <mergeCell ref="E283:E285"/>
    <mergeCell ref="K283:K285"/>
    <mergeCell ref="O283:O285"/>
    <mergeCell ref="R283:R285"/>
    <mergeCell ref="E286:E288"/>
    <mergeCell ref="K286:K288"/>
    <mergeCell ref="N286:N288"/>
    <mergeCell ref="I242:I243"/>
    <mergeCell ref="E271:E276"/>
    <mergeCell ref="K271:K276"/>
    <mergeCell ref="O271:O276"/>
    <mergeCell ref="R271:R276"/>
    <mergeCell ref="E277:E282"/>
    <mergeCell ref="K277:K282"/>
    <mergeCell ref="O277:O282"/>
    <mergeCell ref="R277:R282"/>
    <mergeCell ref="N296:N300"/>
    <mergeCell ref="E301:E303"/>
    <mergeCell ref="K301:K303"/>
    <mergeCell ref="N301:N303"/>
    <mergeCell ref="E289:E290"/>
    <mergeCell ref="K289:K290"/>
    <mergeCell ref="N289:N290"/>
    <mergeCell ref="E291:E295"/>
    <mergeCell ref="K291:K295"/>
    <mergeCell ref="N291:N295"/>
    <mergeCell ref="E304:E307"/>
    <mergeCell ref="I304:I307"/>
    <mergeCell ref="L304:L307"/>
    <mergeCell ref="M304:M307"/>
    <mergeCell ref="E308:E311"/>
    <mergeCell ref="I308:I311"/>
    <mergeCell ref="L308:L311"/>
    <mergeCell ref="M308:M311"/>
    <mergeCell ref="E296:E300"/>
    <mergeCell ref="K296:K300"/>
    <mergeCell ref="E312:E315"/>
    <mergeCell ref="I312:I315"/>
    <mergeCell ref="L312:L315"/>
    <mergeCell ref="M312:M315"/>
    <mergeCell ref="E316:E317"/>
    <mergeCell ref="I316:I317"/>
    <mergeCell ref="L316:L319"/>
    <mergeCell ref="M316:M319"/>
    <mergeCell ref="E318:E319"/>
    <mergeCell ref="I318:I319"/>
    <mergeCell ref="I337:I338"/>
    <mergeCell ref="I344:I345"/>
    <mergeCell ref="E322:E323"/>
    <mergeCell ref="N322:N323"/>
    <mergeCell ref="O322:O323"/>
    <mergeCell ref="R322:R323"/>
    <mergeCell ref="E324:E325"/>
    <mergeCell ref="K324:K325"/>
    <mergeCell ref="N324:N325"/>
    <mergeCell ref="O324:O325"/>
    <mergeCell ref="R324:R325"/>
    <mergeCell ref="E390:E391"/>
    <mergeCell ref="I390:I391"/>
    <mergeCell ref="N390:N391"/>
    <mergeCell ref="I397:I398"/>
    <mergeCell ref="E405:E407"/>
    <mergeCell ref="I405:I407"/>
    <mergeCell ref="U344:U345"/>
    <mergeCell ref="I348:I349"/>
    <mergeCell ref="I475:I476"/>
    <mergeCell ref="L475:L476"/>
    <mergeCell ref="M475:M476"/>
    <mergeCell ref="P405:P407"/>
    <mergeCell ref="I419:I420"/>
    <mergeCell ref="E425:E426"/>
    <mergeCell ref="I425:I426"/>
    <mergeCell ref="E473:E474"/>
    <mergeCell ref="E503:E504"/>
    <mergeCell ref="I503:I504"/>
    <mergeCell ref="L503:L504"/>
    <mergeCell ref="I481:I482"/>
    <mergeCell ref="L481:L482"/>
    <mergeCell ref="M481:M482"/>
    <mergeCell ref="M503:M504"/>
    <mergeCell ref="Q503:Q504"/>
    <mergeCell ref="R503:R504"/>
    <mergeCell ref="I485:I486"/>
    <mergeCell ref="I490:I491"/>
    <mergeCell ref="I572:I573"/>
    <mergeCell ref="E574:E575"/>
    <mergeCell ref="I574:I575"/>
    <mergeCell ref="L574:L575"/>
    <mergeCell ref="M574:M575"/>
    <mergeCell ref="E628:E631"/>
    <mergeCell ref="I628:I631"/>
    <mergeCell ref="K628:K631"/>
    <mergeCell ref="N628:N631"/>
    <mergeCell ref="O628:O631"/>
    <mergeCell ref="R628:R631"/>
    <mergeCell ref="E577:E578"/>
    <mergeCell ref="I577:I578"/>
    <mergeCell ref="L577:L578"/>
    <mergeCell ref="M577:M578"/>
    <mergeCell ref="P577:P578"/>
    <mergeCell ref="E626:E627"/>
    <mergeCell ref="K626:K627"/>
    <mergeCell ref="N626:N627"/>
    <mergeCell ref="O626:O627"/>
    <mergeCell ref="N639:N640"/>
    <mergeCell ref="E641:E644"/>
    <mergeCell ref="K641:K644"/>
    <mergeCell ref="N641:N644"/>
    <mergeCell ref="E632:E635"/>
    <mergeCell ref="K632:K635"/>
    <mergeCell ref="N632:N635"/>
    <mergeCell ref="E636:E638"/>
    <mergeCell ref="K636:K638"/>
    <mergeCell ref="N636:N638"/>
    <mergeCell ref="I673:I674"/>
    <mergeCell ref="E645:E646"/>
    <mergeCell ref="I645:I647"/>
    <mergeCell ref="E648:E651"/>
    <mergeCell ref="I648:I651"/>
    <mergeCell ref="L648:L651"/>
    <mergeCell ref="E654:E656"/>
    <mergeCell ref="I654:I656"/>
    <mergeCell ref="E639:E640"/>
    <mergeCell ref="K639:K640"/>
  </mergeCells>
  <hyperlinks>
    <hyperlink ref="O3" r:id="rId1" display="vuqcU/k@vokMZ dh /kujkf'k"/>
  </hyperlinks>
  <printOptions/>
  <pageMargins left="0.7" right="0.7" top="0.75" bottom="0.75" header="0.3" footer="0.3"/>
  <pageSetup horizontalDpi="300" verticalDpi="300" orientation="landscape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3" width="8.8515625" style="27" customWidth="1"/>
    <col min="4" max="4" width="8.8515625" style="73" customWidth="1"/>
    <col min="5" max="6" width="8.8515625" style="27" customWidth="1"/>
    <col min="7" max="8" width="8.8515625" style="74" customWidth="1"/>
    <col min="9" max="16384" width="8.8515625" style="27" customWidth="1"/>
  </cols>
  <sheetData>
    <row r="1" spans="1:21" ht="24.75">
      <c r="A1" s="220" t="s">
        <v>111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220"/>
    </row>
    <row r="2" spans="1:21" s="33" customFormat="1" ht="15">
      <c r="A2" s="222"/>
      <c r="B2" s="222"/>
      <c r="C2" s="222"/>
      <c r="D2" s="28"/>
      <c r="E2" s="29"/>
      <c r="F2" s="30"/>
      <c r="G2" s="31"/>
      <c r="H2" s="31"/>
      <c r="I2" s="32"/>
      <c r="J2" s="32"/>
      <c r="K2" s="32"/>
      <c r="R2" s="34" t="s">
        <v>112</v>
      </c>
      <c r="S2" s="35"/>
      <c r="U2" s="34"/>
    </row>
    <row r="3" spans="1:21" ht="13.5" customHeight="1">
      <c r="A3" s="217" t="s">
        <v>113</v>
      </c>
      <c r="B3" s="217" t="s">
        <v>114</v>
      </c>
      <c r="C3" s="217" t="s">
        <v>115</v>
      </c>
      <c r="D3" s="217" t="s">
        <v>116</v>
      </c>
      <c r="E3" s="217" t="s">
        <v>117</v>
      </c>
      <c r="F3" s="217" t="s">
        <v>118</v>
      </c>
      <c r="G3" s="217" t="s">
        <v>119</v>
      </c>
      <c r="H3" s="217" t="s">
        <v>120</v>
      </c>
      <c r="I3" s="217" t="s">
        <v>121</v>
      </c>
      <c r="J3" s="217" t="s">
        <v>122</v>
      </c>
      <c r="K3" s="217" t="s">
        <v>123</v>
      </c>
      <c r="L3" s="217" t="s">
        <v>124</v>
      </c>
      <c r="M3" s="217"/>
      <c r="N3" s="217" t="s">
        <v>125</v>
      </c>
      <c r="O3" s="218" t="s">
        <v>126</v>
      </c>
      <c r="P3" s="219"/>
      <c r="Q3" s="219"/>
      <c r="R3" s="217" t="s">
        <v>127</v>
      </c>
      <c r="S3" s="217" t="s">
        <v>128</v>
      </c>
      <c r="T3" s="223" t="s">
        <v>129</v>
      </c>
      <c r="U3" s="217" t="s">
        <v>130</v>
      </c>
    </row>
    <row r="4" spans="1:21" ht="26.2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94" t="s">
        <v>131</v>
      </c>
      <c r="M4" s="94" t="s">
        <v>132</v>
      </c>
      <c r="N4" s="217"/>
      <c r="O4" s="94" t="s">
        <v>133</v>
      </c>
      <c r="P4" s="94" t="s">
        <v>134</v>
      </c>
      <c r="Q4" s="94" t="s">
        <v>102</v>
      </c>
      <c r="R4" s="217"/>
      <c r="S4" s="217"/>
      <c r="T4" s="224"/>
      <c r="U4" s="217"/>
    </row>
    <row r="5" spans="1:21" ht="12.75">
      <c r="A5" s="38">
        <v>1</v>
      </c>
      <c r="B5" s="38"/>
      <c r="C5" s="38"/>
      <c r="D5" s="38">
        <v>2</v>
      </c>
      <c r="E5" s="110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  <c r="N5" s="38">
        <v>12</v>
      </c>
      <c r="O5" s="38">
        <v>13</v>
      </c>
      <c r="P5" s="38">
        <v>14</v>
      </c>
      <c r="Q5" s="38">
        <v>15</v>
      </c>
      <c r="R5" s="38">
        <v>16</v>
      </c>
      <c r="S5" s="38">
        <v>17</v>
      </c>
      <c r="T5" s="103">
        <v>18</v>
      </c>
      <c r="U5" s="38">
        <v>19</v>
      </c>
    </row>
    <row r="6" spans="1:21" ht="69">
      <c r="A6" s="93">
        <v>1</v>
      </c>
      <c r="B6" s="103" t="s">
        <v>244</v>
      </c>
      <c r="C6" s="103" t="s">
        <v>10</v>
      </c>
      <c r="D6" s="36" t="s">
        <v>255</v>
      </c>
      <c r="E6" s="113" t="s">
        <v>153</v>
      </c>
      <c r="F6" s="104" t="s">
        <v>256</v>
      </c>
      <c r="G6" s="53" t="s">
        <v>160</v>
      </c>
      <c r="H6" s="104" t="s">
        <v>147</v>
      </c>
      <c r="I6" s="53" t="s">
        <v>257</v>
      </c>
      <c r="J6" s="104">
        <v>15.41</v>
      </c>
      <c r="K6" s="104">
        <v>608.82</v>
      </c>
      <c r="L6" s="104" t="s">
        <v>258</v>
      </c>
      <c r="M6" s="104" t="s">
        <v>259</v>
      </c>
      <c r="N6" s="104"/>
      <c r="O6" s="104">
        <v>667.89</v>
      </c>
      <c r="P6" s="104"/>
      <c r="Q6" s="104">
        <f>SUM(O6:P6)</f>
        <v>667.89</v>
      </c>
      <c r="R6" s="104">
        <v>567.46</v>
      </c>
      <c r="S6" s="104">
        <v>15.41</v>
      </c>
      <c r="T6" s="105" t="s">
        <v>260</v>
      </c>
      <c r="U6" s="105" t="s">
        <v>261</v>
      </c>
    </row>
    <row r="7" spans="1:21" ht="46.5">
      <c r="A7" s="93">
        <v>1</v>
      </c>
      <c r="B7" s="103" t="s">
        <v>279</v>
      </c>
      <c r="C7" s="103" t="s">
        <v>10</v>
      </c>
      <c r="D7" s="37" t="s">
        <v>280</v>
      </c>
      <c r="E7" s="97" t="s">
        <v>145</v>
      </c>
      <c r="F7" s="103" t="s">
        <v>135</v>
      </c>
      <c r="G7" s="103" t="s">
        <v>166</v>
      </c>
      <c r="H7" s="103" t="s">
        <v>166</v>
      </c>
      <c r="I7" s="103" t="s">
        <v>281</v>
      </c>
      <c r="J7" s="116">
        <v>15.76</v>
      </c>
      <c r="K7" s="104">
        <v>548.72</v>
      </c>
      <c r="L7" s="103" t="s">
        <v>282</v>
      </c>
      <c r="M7" s="103" t="s">
        <v>283</v>
      </c>
      <c r="N7" s="103"/>
      <c r="O7" s="104">
        <v>335.81</v>
      </c>
      <c r="P7" s="104"/>
      <c r="Q7" s="104">
        <f>SUM(O7:P7)</f>
        <v>335.81</v>
      </c>
      <c r="R7" s="104">
        <v>327.48</v>
      </c>
      <c r="S7" s="104">
        <v>15.76</v>
      </c>
      <c r="T7" s="105" t="s">
        <v>284</v>
      </c>
      <c r="U7" s="105" t="s">
        <v>143</v>
      </c>
    </row>
    <row r="8" spans="1:21" ht="48">
      <c r="A8" s="93">
        <v>1</v>
      </c>
      <c r="B8" s="103" t="s">
        <v>279</v>
      </c>
      <c r="C8" s="103" t="s">
        <v>10</v>
      </c>
      <c r="D8" s="37" t="s">
        <v>285</v>
      </c>
      <c r="E8" s="97" t="s">
        <v>183</v>
      </c>
      <c r="F8" s="103" t="s">
        <v>135</v>
      </c>
      <c r="G8" s="103" t="s">
        <v>10</v>
      </c>
      <c r="H8" s="104" t="s">
        <v>147</v>
      </c>
      <c r="I8" s="103" t="s">
        <v>227</v>
      </c>
      <c r="J8" s="116">
        <v>5.65</v>
      </c>
      <c r="K8" s="104">
        <v>193.3</v>
      </c>
      <c r="L8" s="103" t="s">
        <v>286</v>
      </c>
      <c r="M8" s="103" t="s">
        <v>273</v>
      </c>
      <c r="N8" s="103"/>
      <c r="O8" s="104">
        <v>129.84</v>
      </c>
      <c r="P8" s="104"/>
      <c r="Q8" s="104">
        <v>129.84</v>
      </c>
      <c r="R8" s="104">
        <v>74.11</v>
      </c>
      <c r="S8" s="104">
        <v>5</v>
      </c>
      <c r="T8" s="105" t="s">
        <v>284</v>
      </c>
      <c r="U8" s="105" t="s">
        <v>143</v>
      </c>
    </row>
    <row r="9" spans="1:21" ht="92.25">
      <c r="A9" s="93">
        <v>2</v>
      </c>
      <c r="B9" s="103" t="s">
        <v>313</v>
      </c>
      <c r="C9" s="103" t="s">
        <v>10</v>
      </c>
      <c r="D9" s="39" t="s">
        <v>314</v>
      </c>
      <c r="E9" s="97" t="s">
        <v>145</v>
      </c>
      <c r="F9" s="103" t="s">
        <v>135</v>
      </c>
      <c r="G9" s="103" t="s">
        <v>10</v>
      </c>
      <c r="H9" s="104" t="s">
        <v>147</v>
      </c>
      <c r="I9" s="103" t="s">
        <v>315</v>
      </c>
      <c r="J9" s="96">
        <v>31.2</v>
      </c>
      <c r="K9" s="104">
        <v>1151.4</v>
      </c>
      <c r="L9" s="104" t="s">
        <v>316</v>
      </c>
      <c r="M9" s="104" t="s">
        <v>317</v>
      </c>
      <c r="N9" s="104"/>
      <c r="O9" s="104">
        <v>1250.81</v>
      </c>
      <c r="P9" s="104"/>
      <c r="Q9" s="104">
        <f>SUM(O9:P9)</f>
        <v>1250.81</v>
      </c>
      <c r="R9" s="104">
        <v>1059.02</v>
      </c>
      <c r="S9" s="104">
        <v>27.25</v>
      </c>
      <c r="T9" s="56" t="s">
        <v>284</v>
      </c>
      <c r="U9" s="56" t="s">
        <v>143</v>
      </c>
    </row>
    <row r="10" spans="1:21" ht="78.75">
      <c r="A10" s="93">
        <v>1</v>
      </c>
      <c r="B10" s="103" t="s">
        <v>313</v>
      </c>
      <c r="C10" s="103" t="s">
        <v>10</v>
      </c>
      <c r="D10" s="39" t="s">
        <v>323</v>
      </c>
      <c r="E10" s="97" t="s">
        <v>165</v>
      </c>
      <c r="F10" s="103" t="s">
        <v>135</v>
      </c>
      <c r="G10" s="103" t="s">
        <v>146</v>
      </c>
      <c r="H10" s="104" t="s">
        <v>147</v>
      </c>
      <c r="I10" s="103" t="s">
        <v>324</v>
      </c>
      <c r="J10" s="96">
        <v>6.9</v>
      </c>
      <c r="K10" s="104">
        <v>226.93</v>
      </c>
      <c r="L10" s="104" t="s">
        <v>306</v>
      </c>
      <c r="M10" s="104" t="s">
        <v>307</v>
      </c>
      <c r="N10" s="104"/>
      <c r="O10" s="104">
        <v>137.32</v>
      </c>
      <c r="P10" s="104"/>
      <c r="Q10" s="104">
        <f>SUM(O10:P10)</f>
        <v>137.32</v>
      </c>
      <c r="R10" s="104">
        <f>109.08</f>
        <v>109.08</v>
      </c>
      <c r="S10" s="104">
        <v>6</v>
      </c>
      <c r="T10" s="117" t="s">
        <v>637</v>
      </c>
      <c r="U10" s="56" t="s">
        <v>143</v>
      </c>
    </row>
    <row r="11" spans="1:21" ht="78.75">
      <c r="A11" s="93">
        <v>1</v>
      </c>
      <c r="B11" s="103" t="s">
        <v>313</v>
      </c>
      <c r="C11" s="103" t="s">
        <v>10</v>
      </c>
      <c r="D11" s="39" t="s">
        <v>325</v>
      </c>
      <c r="E11" s="97" t="s">
        <v>169</v>
      </c>
      <c r="F11" s="103" t="s">
        <v>135</v>
      </c>
      <c r="G11" s="103" t="s">
        <v>146</v>
      </c>
      <c r="H11" s="104" t="s">
        <v>147</v>
      </c>
      <c r="I11" s="103"/>
      <c r="J11" s="96">
        <v>17.4</v>
      </c>
      <c r="K11" s="104">
        <v>508.72</v>
      </c>
      <c r="L11" s="104" t="s">
        <v>326</v>
      </c>
      <c r="M11" s="104" t="s">
        <v>327</v>
      </c>
      <c r="N11" s="104"/>
      <c r="O11" s="104"/>
      <c r="P11" s="104"/>
      <c r="Q11" s="104"/>
      <c r="R11" s="104">
        <v>60.97</v>
      </c>
      <c r="S11" s="104">
        <v>4</v>
      </c>
      <c r="T11" s="56" t="s">
        <v>284</v>
      </c>
      <c r="U11" s="56" t="s">
        <v>143</v>
      </c>
    </row>
    <row r="12" spans="1:21" ht="78.75">
      <c r="A12" s="93">
        <v>2</v>
      </c>
      <c r="B12" s="103" t="s">
        <v>313</v>
      </c>
      <c r="C12" s="103" t="s">
        <v>10</v>
      </c>
      <c r="D12" s="39" t="s">
        <v>352</v>
      </c>
      <c r="E12" s="97" t="s">
        <v>353</v>
      </c>
      <c r="F12" s="103" t="s">
        <v>135</v>
      </c>
      <c r="G12" s="103" t="s">
        <v>166</v>
      </c>
      <c r="H12" s="103" t="s">
        <v>166</v>
      </c>
      <c r="I12" s="103" t="s">
        <v>354</v>
      </c>
      <c r="J12" s="96">
        <v>4</v>
      </c>
      <c r="K12" s="104">
        <v>144.77</v>
      </c>
      <c r="L12" s="104" t="s">
        <v>355</v>
      </c>
      <c r="M12" s="104" t="s">
        <v>356</v>
      </c>
      <c r="N12" s="104"/>
      <c r="O12" s="104">
        <v>126.07</v>
      </c>
      <c r="P12" s="104"/>
      <c r="Q12" s="104">
        <f>SUM(O12:P12)</f>
        <v>126.07</v>
      </c>
      <c r="R12" s="104">
        <v>90.46</v>
      </c>
      <c r="S12" s="104">
        <v>3.5</v>
      </c>
      <c r="T12" s="56" t="s">
        <v>284</v>
      </c>
      <c r="U12" s="56" t="s">
        <v>143</v>
      </c>
    </row>
    <row r="13" spans="1:21" ht="78.75">
      <c r="A13" s="93">
        <v>1</v>
      </c>
      <c r="B13" s="103" t="s">
        <v>313</v>
      </c>
      <c r="C13" s="103" t="s">
        <v>10</v>
      </c>
      <c r="D13" s="39" t="s">
        <v>362</v>
      </c>
      <c r="E13" s="97" t="s">
        <v>363</v>
      </c>
      <c r="F13" s="103" t="s">
        <v>135</v>
      </c>
      <c r="G13" s="103" t="s">
        <v>160</v>
      </c>
      <c r="H13" s="104" t="s">
        <v>139</v>
      </c>
      <c r="I13" s="103" t="s">
        <v>351</v>
      </c>
      <c r="J13" s="96">
        <v>8.1</v>
      </c>
      <c r="K13" s="104">
        <v>286.77</v>
      </c>
      <c r="L13" s="104" t="s">
        <v>364</v>
      </c>
      <c r="M13" s="104" t="s">
        <v>365</v>
      </c>
      <c r="N13" s="104"/>
      <c r="O13" s="104">
        <v>161.35</v>
      </c>
      <c r="P13" s="104"/>
      <c r="Q13" s="104">
        <f>SUM(O13:P13)</f>
        <v>161.35</v>
      </c>
      <c r="R13" s="104">
        <f>0+102.62+22.05+26.28</f>
        <v>150.95</v>
      </c>
      <c r="S13" s="104">
        <v>7.6</v>
      </c>
      <c r="T13" s="105" t="s">
        <v>284</v>
      </c>
      <c r="U13" s="56" t="s">
        <v>143</v>
      </c>
    </row>
    <row r="14" spans="1:21" ht="78.75">
      <c r="A14" s="93">
        <v>3</v>
      </c>
      <c r="B14" s="103" t="s">
        <v>395</v>
      </c>
      <c r="C14" s="103" t="s">
        <v>10</v>
      </c>
      <c r="D14" s="136" t="s">
        <v>398</v>
      </c>
      <c r="E14" s="146" t="s">
        <v>145</v>
      </c>
      <c r="F14" s="146" t="s">
        <v>135</v>
      </c>
      <c r="G14" s="167" t="s">
        <v>166</v>
      </c>
      <c r="H14" s="131" t="s">
        <v>166</v>
      </c>
      <c r="I14" s="131" t="s">
        <v>399</v>
      </c>
      <c r="J14" s="131">
        <v>8</v>
      </c>
      <c r="K14" s="131">
        <v>325.48</v>
      </c>
      <c r="L14" s="131" t="s">
        <v>355</v>
      </c>
      <c r="M14" s="131" t="s">
        <v>356</v>
      </c>
      <c r="N14" s="131"/>
      <c r="O14" s="93"/>
      <c r="P14" s="93"/>
      <c r="Q14" s="131">
        <v>245.01</v>
      </c>
      <c r="R14" s="131">
        <v>291.54</v>
      </c>
      <c r="S14" s="131">
        <v>8</v>
      </c>
      <c r="T14" s="131" t="s">
        <v>400</v>
      </c>
      <c r="U14" s="93"/>
    </row>
    <row r="15" spans="1:21" ht="92.25">
      <c r="A15" s="93">
        <v>2</v>
      </c>
      <c r="B15" s="103" t="s">
        <v>395</v>
      </c>
      <c r="C15" s="103" t="s">
        <v>10</v>
      </c>
      <c r="D15" s="130" t="s">
        <v>406</v>
      </c>
      <c r="E15" s="146" t="s">
        <v>183</v>
      </c>
      <c r="F15" s="146" t="s">
        <v>159</v>
      </c>
      <c r="G15" s="146" t="s">
        <v>146</v>
      </c>
      <c r="H15" s="131" t="s">
        <v>147</v>
      </c>
      <c r="I15" s="131" t="s">
        <v>407</v>
      </c>
      <c r="J15" s="131">
        <v>15.18</v>
      </c>
      <c r="K15" s="131">
        <v>498.73</v>
      </c>
      <c r="L15" s="131" t="s">
        <v>408</v>
      </c>
      <c r="M15" s="131" t="s">
        <v>409</v>
      </c>
      <c r="N15" s="131"/>
      <c r="O15" s="93"/>
      <c r="P15" s="93"/>
      <c r="Q15" s="131">
        <v>484.43</v>
      </c>
      <c r="R15" s="131">
        <v>179.47</v>
      </c>
      <c r="S15" s="131">
        <v>4.75</v>
      </c>
      <c r="T15" s="131" t="s">
        <v>400</v>
      </c>
      <c r="U15" s="93"/>
    </row>
    <row r="16" spans="1:21" ht="66">
      <c r="A16" s="93">
        <v>3</v>
      </c>
      <c r="B16" s="103" t="s">
        <v>395</v>
      </c>
      <c r="C16" s="103" t="s">
        <v>10</v>
      </c>
      <c r="D16" s="130" t="s">
        <v>410</v>
      </c>
      <c r="E16" s="146" t="s">
        <v>165</v>
      </c>
      <c r="F16" s="146" t="s">
        <v>159</v>
      </c>
      <c r="G16" s="146" t="s">
        <v>146</v>
      </c>
      <c r="H16" s="131" t="s">
        <v>147</v>
      </c>
      <c r="I16" s="131" t="s">
        <v>338</v>
      </c>
      <c r="J16" s="131">
        <v>8.05</v>
      </c>
      <c r="K16" s="131">
        <v>284.73</v>
      </c>
      <c r="L16" s="131" t="s">
        <v>411</v>
      </c>
      <c r="M16" s="131" t="s">
        <v>412</v>
      </c>
      <c r="N16" s="131"/>
      <c r="O16" s="93"/>
      <c r="P16" s="93"/>
      <c r="Q16" s="131">
        <v>227.45</v>
      </c>
      <c r="R16" s="131">
        <v>16.16</v>
      </c>
      <c r="S16" s="131"/>
      <c r="T16" s="131" t="s">
        <v>400</v>
      </c>
      <c r="U16" s="93"/>
    </row>
    <row r="17" spans="1:21" ht="78.75">
      <c r="A17" s="93">
        <v>4</v>
      </c>
      <c r="B17" s="103" t="s">
        <v>395</v>
      </c>
      <c r="C17" s="103" t="s">
        <v>10</v>
      </c>
      <c r="D17" s="130" t="s">
        <v>413</v>
      </c>
      <c r="E17" s="146" t="s">
        <v>169</v>
      </c>
      <c r="F17" s="146" t="s">
        <v>159</v>
      </c>
      <c r="G17" s="146" t="s">
        <v>146</v>
      </c>
      <c r="H17" s="131" t="s">
        <v>147</v>
      </c>
      <c r="I17" s="131" t="s">
        <v>379</v>
      </c>
      <c r="J17" s="131">
        <v>14</v>
      </c>
      <c r="K17" s="131">
        <v>457.89</v>
      </c>
      <c r="L17" s="131" t="s">
        <v>411</v>
      </c>
      <c r="M17" s="131" t="s">
        <v>414</v>
      </c>
      <c r="N17" s="131"/>
      <c r="O17" s="93"/>
      <c r="P17" s="93"/>
      <c r="Q17" s="131">
        <v>390.12</v>
      </c>
      <c r="R17" s="131">
        <v>310.67</v>
      </c>
      <c r="S17" s="131">
        <v>7.5</v>
      </c>
      <c r="T17" s="131" t="s">
        <v>400</v>
      </c>
      <c r="U17" s="93"/>
    </row>
    <row r="18" spans="1:21" ht="132">
      <c r="A18" s="93">
        <v>4</v>
      </c>
      <c r="B18" s="103" t="s">
        <v>415</v>
      </c>
      <c r="C18" s="103" t="s">
        <v>10</v>
      </c>
      <c r="D18" s="64" t="s">
        <v>419</v>
      </c>
      <c r="E18" s="146" t="s">
        <v>145</v>
      </c>
      <c r="F18" s="146" t="s">
        <v>175</v>
      </c>
      <c r="G18" s="146" t="s">
        <v>166</v>
      </c>
      <c r="H18" s="147" t="s">
        <v>166</v>
      </c>
      <c r="I18" s="147" t="s">
        <v>420</v>
      </c>
      <c r="J18" s="131" t="s">
        <v>141</v>
      </c>
      <c r="K18" s="131">
        <v>315.38</v>
      </c>
      <c r="L18" s="63" t="s">
        <v>421</v>
      </c>
      <c r="M18" s="63" t="s">
        <v>422</v>
      </c>
      <c r="N18" s="63"/>
      <c r="O18" s="93"/>
      <c r="P18" s="93"/>
      <c r="Q18" s="98">
        <v>327.22</v>
      </c>
      <c r="R18" s="98">
        <v>295.43</v>
      </c>
      <c r="S18" s="98"/>
      <c r="T18" s="63" t="s">
        <v>400</v>
      </c>
      <c r="U18" s="63" t="s">
        <v>141</v>
      </c>
    </row>
    <row r="19" spans="1:21" ht="118.5">
      <c r="A19" s="93">
        <v>5</v>
      </c>
      <c r="B19" s="103" t="s">
        <v>415</v>
      </c>
      <c r="C19" s="103" t="s">
        <v>10</v>
      </c>
      <c r="D19" s="123" t="s">
        <v>423</v>
      </c>
      <c r="E19" s="146" t="s">
        <v>153</v>
      </c>
      <c r="F19" s="146" t="s">
        <v>175</v>
      </c>
      <c r="G19" s="146" t="s">
        <v>166</v>
      </c>
      <c r="H19" s="147" t="s">
        <v>166</v>
      </c>
      <c r="I19" s="147" t="s">
        <v>399</v>
      </c>
      <c r="J19" s="131" t="s">
        <v>141</v>
      </c>
      <c r="K19" s="131">
        <v>233.42</v>
      </c>
      <c r="L19" s="63" t="s">
        <v>424</v>
      </c>
      <c r="M19" s="63" t="s">
        <v>425</v>
      </c>
      <c r="N19" s="63"/>
      <c r="O19" s="93"/>
      <c r="P19" s="93"/>
      <c r="Q19" s="98">
        <v>229.84</v>
      </c>
      <c r="R19" s="98">
        <v>50</v>
      </c>
      <c r="S19" s="98"/>
      <c r="T19" s="63" t="s">
        <v>400</v>
      </c>
      <c r="U19" s="63" t="s">
        <v>141</v>
      </c>
    </row>
    <row r="20" spans="1:21" ht="92.25">
      <c r="A20" s="93">
        <v>3</v>
      </c>
      <c r="B20" s="103" t="s">
        <v>415</v>
      </c>
      <c r="C20" s="103" t="s">
        <v>10</v>
      </c>
      <c r="D20" s="64" t="s">
        <v>426</v>
      </c>
      <c r="E20" s="146" t="s">
        <v>183</v>
      </c>
      <c r="F20" s="146" t="s">
        <v>159</v>
      </c>
      <c r="G20" s="146" t="s">
        <v>10</v>
      </c>
      <c r="H20" s="147" t="s">
        <v>147</v>
      </c>
      <c r="I20" s="147" t="s">
        <v>338</v>
      </c>
      <c r="J20" s="131">
        <v>7.65</v>
      </c>
      <c r="K20" s="131">
        <v>267.15</v>
      </c>
      <c r="L20" s="63" t="s">
        <v>427</v>
      </c>
      <c r="M20" s="63" t="s">
        <v>428</v>
      </c>
      <c r="N20" s="63"/>
      <c r="O20" s="93"/>
      <c r="P20" s="93"/>
      <c r="Q20" s="98">
        <v>261.05</v>
      </c>
      <c r="R20" s="98">
        <v>152.03</v>
      </c>
      <c r="S20" s="98">
        <v>1.75</v>
      </c>
      <c r="T20" s="63" t="s">
        <v>400</v>
      </c>
      <c r="U20" s="63" t="s">
        <v>141</v>
      </c>
    </row>
    <row r="21" spans="1:21" ht="66">
      <c r="A21" s="93">
        <v>5</v>
      </c>
      <c r="B21" s="103" t="s">
        <v>415</v>
      </c>
      <c r="C21" s="103" t="s">
        <v>10</v>
      </c>
      <c r="D21" s="64" t="s">
        <v>429</v>
      </c>
      <c r="E21" s="146" t="s">
        <v>165</v>
      </c>
      <c r="F21" s="146" t="s">
        <v>159</v>
      </c>
      <c r="G21" s="146" t="s">
        <v>146</v>
      </c>
      <c r="H21" s="147" t="s">
        <v>147</v>
      </c>
      <c r="I21" s="147" t="s">
        <v>430</v>
      </c>
      <c r="J21" s="131">
        <v>5.74</v>
      </c>
      <c r="K21" s="131">
        <v>216.77</v>
      </c>
      <c r="L21" s="63" t="s">
        <v>431</v>
      </c>
      <c r="M21" s="63" t="s">
        <v>432</v>
      </c>
      <c r="N21" s="63"/>
      <c r="O21" s="93"/>
      <c r="P21" s="93"/>
      <c r="Q21" s="98">
        <v>256.77</v>
      </c>
      <c r="R21" s="98">
        <v>116.26</v>
      </c>
      <c r="S21" s="98"/>
      <c r="T21" s="63" t="s">
        <v>400</v>
      </c>
      <c r="U21" s="63" t="s">
        <v>141</v>
      </c>
    </row>
    <row r="22" spans="1:21" ht="132">
      <c r="A22" s="93">
        <v>2</v>
      </c>
      <c r="B22" s="103" t="s">
        <v>415</v>
      </c>
      <c r="C22" s="103" t="s">
        <v>10</v>
      </c>
      <c r="D22" s="64" t="s">
        <v>438</v>
      </c>
      <c r="E22" s="146" t="s">
        <v>172</v>
      </c>
      <c r="F22" s="146" t="s">
        <v>175</v>
      </c>
      <c r="G22" s="146" t="s">
        <v>160</v>
      </c>
      <c r="H22" s="147" t="s">
        <v>439</v>
      </c>
      <c r="I22" s="147"/>
      <c r="J22" s="131" t="s">
        <v>141</v>
      </c>
      <c r="K22" s="131">
        <v>112.28</v>
      </c>
      <c r="L22" s="63" t="s">
        <v>440</v>
      </c>
      <c r="M22" s="63" t="s">
        <v>441</v>
      </c>
      <c r="N22" s="63"/>
      <c r="O22" s="93"/>
      <c r="P22" s="93"/>
      <c r="Q22" s="192">
        <v>231.74</v>
      </c>
      <c r="R22" s="98"/>
      <c r="S22" s="98"/>
      <c r="T22" s="63" t="s">
        <v>400</v>
      </c>
      <c r="U22" s="63" t="s">
        <v>141</v>
      </c>
    </row>
    <row r="23" spans="1:21" ht="132">
      <c r="A23" s="93">
        <v>3</v>
      </c>
      <c r="B23" s="103" t="s">
        <v>415</v>
      </c>
      <c r="C23" s="103" t="s">
        <v>10</v>
      </c>
      <c r="D23" s="64" t="s">
        <v>442</v>
      </c>
      <c r="E23" s="146" t="s">
        <v>174</v>
      </c>
      <c r="F23" s="146" t="s">
        <v>175</v>
      </c>
      <c r="G23" s="146" t="s">
        <v>160</v>
      </c>
      <c r="H23" s="147" t="s">
        <v>439</v>
      </c>
      <c r="I23" s="147"/>
      <c r="J23" s="131" t="s">
        <v>141</v>
      </c>
      <c r="K23" s="131">
        <v>119.48</v>
      </c>
      <c r="L23" s="63" t="s">
        <v>440</v>
      </c>
      <c r="M23" s="63" t="s">
        <v>441</v>
      </c>
      <c r="N23" s="63"/>
      <c r="O23" s="93"/>
      <c r="P23" s="93"/>
      <c r="Q23" s="192"/>
      <c r="R23" s="98">
        <v>28.51</v>
      </c>
      <c r="S23" s="98"/>
      <c r="T23" s="63" t="s">
        <v>400</v>
      </c>
      <c r="U23" s="63" t="s">
        <v>141</v>
      </c>
    </row>
    <row r="24" spans="1:21" ht="118.5">
      <c r="A24" s="93">
        <v>1</v>
      </c>
      <c r="B24" s="103" t="s">
        <v>415</v>
      </c>
      <c r="C24" s="103" t="s">
        <v>10</v>
      </c>
      <c r="D24" s="64" t="s">
        <v>443</v>
      </c>
      <c r="E24" s="146" t="s">
        <v>304</v>
      </c>
      <c r="F24" s="146" t="s">
        <v>135</v>
      </c>
      <c r="G24" s="146" t="s">
        <v>139</v>
      </c>
      <c r="H24" s="104" t="s">
        <v>139</v>
      </c>
      <c r="I24" s="147" t="s">
        <v>444</v>
      </c>
      <c r="J24" s="131">
        <v>14.15</v>
      </c>
      <c r="K24" s="131">
        <v>632.7</v>
      </c>
      <c r="L24" s="63" t="s">
        <v>435</v>
      </c>
      <c r="M24" s="63" t="s">
        <v>436</v>
      </c>
      <c r="N24" s="63"/>
      <c r="O24" s="93"/>
      <c r="P24" s="93"/>
      <c r="Q24" s="98">
        <v>585.73</v>
      </c>
      <c r="R24" s="98">
        <v>460.8</v>
      </c>
      <c r="S24" s="98">
        <v>10.6</v>
      </c>
      <c r="T24" s="63" t="s">
        <v>400</v>
      </c>
      <c r="U24" s="63" t="s">
        <v>141</v>
      </c>
    </row>
    <row r="25" spans="1:21" ht="92.25">
      <c r="A25" s="93">
        <v>2</v>
      </c>
      <c r="B25" s="103" t="s">
        <v>445</v>
      </c>
      <c r="C25" s="103" t="s">
        <v>10</v>
      </c>
      <c r="D25" s="66" t="s">
        <v>446</v>
      </c>
      <c r="E25" s="43" t="s">
        <v>447</v>
      </c>
      <c r="F25" s="43" t="s">
        <v>135</v>
      </c>
      <c r="G25" s="43" t="s">
        <v>139</v>
      </c>
      <c r="H25" s="113" t="s">
        <v>139</v>
      </c>
      <c r="I25" s="142" t="s">
        <v>448</v>
      </c>
      <c r="J25" s="67">
        <v>3.25</v>
      </c>
      <c r="K25" s="142">
        <v>186.52</v>
      </c>
      <c r="L25" s="142"/>
      <c r="M25" s="142"/>
      <c r="N25" s="142"/>
      <c r="O25" s="93"/>
      <c r="P25" s="93"/>
      <c r="Q25" s="142">
        <v>181.37</v>
      </c>
      <c r="R25" s="142">
        <v>71.03</v>
      </c>
      <c r="S25" s="142">
        <v>2.5</v>
      </c>
      <c r="T25" s="142" t="s">
        <v>400</v>
      </c>
      <c r="U25" s="142"/>
    </row>
    <row r="26" spans="1:21" ht="171">
      <c r="A26" s="93">
        <v>4</v>
      </c>
      <c r="B26" s="103" t="s">
        <v>445</v>
      </c>
      <c r="C26" s="103" t="s">
        <v>10</v>
      </c>
      <c r="D26" s="66" t="s">
        <v>449</v>
      </c>
      <c r="E26" s="43" t="s">
        <v>450</v>
      </c>
      <c r="F26" s="43" t="s">
        <v>135</v>
      </c>
      <c r="G26" s="43" t="s">
        <v>160</v>
      </c>
      <c r="H26" s="43" t="s">
        <v>147</v>
      </c>
      <c r="I26" s="142" t="s">
        <v>383</v>
      </c>
      <c r="J26" s="67">
        <v>6.5</v>
      </c>
      <c r="K26" s="142">
        <v>311.66</v>
      </c>
      <c r="L26" s="142"/>
      <c r="M26" s="142"/>
      <c r="N26" s="142"/>
      <c r="O26" s="93"/>
      <c r="P26" s="93"/>
      <c r="Q26" s="142">
        <v>247.81</v>
      </c>
      <c r="R26" s="142">
        <v>37.34</v>
      </c>
      <c r="S26" s="142">
        <v>1.5</v>
      </c>
      <c r="T26" s="142" t="s">
        <v>400</v>
      </c>
      <c r="U26" s="142" t="s">
        <v>451</v>
      </c>
    </row>
    <row r="27" spans="1:21" ht="66">
      <c r="A27" s="93">
        <v>6</v>
      </c>
      <c r="B27" s="103" t="s">
        <v>445</v>
      </c>
      <c r="C27" s="103" t="s">
        <v>10</v>
      </c>
      <c r="D27" s="66" t="s">
        <v>452</v>
      </c>
      <c r="E27" s="43" t="s">
        <v>346</v>
      </c>
      <c r="F27" s="43" t="s">
        <v>135</v>
      </c>
      <c r="G27" s="43" t="s">
        <v>146</v>
      </c>
      <c r="H27" s="43" t="s">
        <v>147</v>
      </c>
      <c r="I27" s="142"/>
      <c r="J27" s="67">
        <v>4.025</v>
      </c>
      <c r="K27" s="142">
        <v>198.86</v>
      </c>
      <c r="L27" s="142"/>
      <c r="M27" s="142"/>
      <c r="N27" s="142"/>
      <c r="O27" s="93"/>
      <c r="P27" s="93"/>
      <c r="Q27" s="142"/>
      <c r="R27" s="142">
        <v>28.54</v>
      </c>
      <c r="S27" s="142">
        <v>1</v>
      </c>
      <c r="T27" s="142" t="s">
        <v>400</v>
      </c>
      <c r="U27" s="142" t="s">
        <v>451</v>
      </c>
    </row>
    <row r="28" spans="1:21" ht="92.25">
      <c r="A28" s="93">
        <v>3</v>
      </c>
      <c r="B28" s="103" t="s">
        <v>445</v>
      </c>
      <c r="C28" s="103" t="s">
        <v>10</v>
      </c>
      <c r="D28" s="66" t="s">
        <v>453</v>
      </c>
      <c r="E28" s="43" t="s">
        <v>350</v>
      </c>
      <c r="F28" s="43" t="s">
        <v>135</v>
      </c>
      <c r="G28" s="43" t="s">
        <v>139</v>
      </c>
      <c r="H28" s="113" t="s">
        <v>139</v>
      </c>
      <c r="I28" s="142" t="s">
        <v>454</v>
      </c>
      <c r="J28" s="67">
        <v>4.4</v>
      </c>
      <c r="K28" s="142">
        <v>210.45</v>
      </c>
      <c r="L28" s="142" t="s">
        <v>455</v>
      </c>
      <c r="M28" s="142" t="s">
        <v>456</v>
      </c>
      <c r="N28" s="142"/>
      <c r="O28" s="93"/>
      <c r="P28" s="93"/>
      <c r="Q28" s="142">
        <v>191.69</v>
      </c>
      <c r="R28" s="142">
        <v>171.18</v>
      </c>
      <c r="S28" s="142">
        <v>2.4</v>
      </c>
      <c r="T28" s="142" t="s">
        <v>400</v>
      </c>
      <c r="U28" s="142" t="s">
        <v>451</v>
      </c>
    </row>
    <row r="29" spans="1:21" ht="78.75">
      <c r="A29" s="93">
        <v>7</v>
      </c>
      <c r="B29" s="103" t="s">
        <v>445</v>
      </c>
      <c r="C29" s="103" t="s">
        <v>10</v>
      </c>
      <c r="D29" s="66" t="s">
        <v>457</v>
      </c>
      <c r="E29" s="43" t="s">
        <v>458</v>
      </c>
      <c r="F29" s="43" t="s">
        <v>135</v>
      </c>
      <c r="G29" s="43" t="s">
        <v>146</v>
      </c>
      <c r="H29" s="43" t="s">
        <v>147</v>
      </c>
      <c r="I29" s="142" t="s">
        <v>459</v>
      </c>
      <c r="J29" s="67">
        <v>5</v>
      </c>
      <c r="K29" s="142">
        <v>234.67</v>
      </c>
      <c r="L29" s="142" t="s">
        <v>460</v>
      </c>
      <c r="M29" s="142" t="s">
        <v>461</v>
      </c>
      <c r="N29" s="142"/>
      <c r="O29" s="93"/>
      <c r="P29" s="93"/>
      <c r="Q29" s="142">
        <v>177.51</v>
      </c>
      <c r="R29" s="142">
        <v>89.02</v>
      </c>
      <c r="S29" s="142">
        <v>4</v>
      </c>
      <c r="T29" s="142" t="s">
        <v>400</v>
      </c>
      <c r="U29" s="142"/>
    </row>
    <row r="30" spans="1:21" ht="78.75">
      <c r="A30" s="93">
        <v>8</v>
      </c>
      <c r="B30" s="103" t="s">
        <v>462</v>
      </c>
      <c r="C30" s="103" t="s">
        <v>10</v>
      </c>
      <c r="D30" s="124" t="s">
        <v>463</v>
      </c>
      <c r="E30" s="43" t="s">
        <v>310</v>
      </c>
      <c r="F30" s="43" t="s">
        <v>159</v>
      </c>
      <c r="G30" s="43" t="s">
        <v>146</v>
      </c>
      <c r="H30" s="113" t="s">
        <v>147</v>
      </c>
      <c r="I30" s="142" t="s">
        <v>464</v>
      </c>
      <c r="J30" s="67">
        <v>3.69</v>
      </c>
      <c r="K30" s="142">
        <v>204.44</v>
      </c>
      <c r="L30" s="142" t="s">
        <v>465</v>
      </c>
      <c r="M30" s="142" t="s">
        <v>466</v>
      </c>
      <c r="N30" s="142"/>
      <c r="O30" s="93"/>
      <c r="P30" s="93"/>
      <c r="Q30" s="142">
        <v>205</v>
      </c>
      <c r="R30" s="142">
        <v>93.98</v>
      </c>
      <c r="S30" s="142"/>
      <c r="T30" s="142" t="s">
        <v>400</v>
      </c>
      <c r="U30" s="142" t="s">
        <v>451</v>
      </c>
    </row>
    <row r="31" spans="1:21" ht="66">
      <c r="A31" s="93">
        <v>4</v>
      </c>
      <c r="B31" s="103" t="s">
        <v>462</v>
      </c>
      <c r="C31" s="103" t="s">
        <v>10</v>
      </c>
      <c r="D31" s="124" t="s">
        <v>467</v>
      </c>
      <c r="E31" s="43" t="s">
        <v>337</v>
      </c>
      <c r="F31" s="43" t="s">
        <v>159</v>
      </c>
      <c r="G31" s="43" t="s">
        <v>139</v>
      </c>
      <c r="H31" s="113" t="s">
        <v>139</v>
      </c>
      <c r="I31" s="142"/>
      <c r="J31" s="67">
        <v>4.7</v>
      </c>
      <c r="K31" s="142">
        <v>248.3</v>
      </c>
      <c r="L31" s="142" t="s">
        <v>468</v>
      </c>
      <c r="M31" s="142" t="s">
        <v>469</v>
      </c>
      <c r="N31" s="142"/>
      <c r="O31" s="93"/>
      <c r="P31" s="93"/>
      <c r="Q31" s="142">
        <v>292.87</v>
      </c>
      <c r="R31" s="142">
        <v>157.48</v>
      </c>
      <c r="S31" s="142">
        <v>3.5</v>
      </c>
      <c r="T31" s="142" t="s">
        <v>400</v>
      </c>
      <c r="U31" s="142" t="s">
        <v>451</v>
      </c>
    </row>
    <row r="32" spans="1:21" ht="66">
      <c r="A32" s="93">
        <v>2</v>
      </c>
      <c r="B32" s="103" t="s">
        <v>462</v>
      </c>
      <c r="C32" s="103" t="s">
        <v>10</v>
      </c>
      <c r="D32" s="124" t="s">
        <v>470</v>
      </c>
      <c r="E32" s="43" t="s">
        <v>471</v>
      </c>
      <c r="F32" s="43" t="s">
        <v>159</v>
      </c>
      <c r="G32" s="43" t="s">
        <v>160</v>
      </c>
      <c r="H32" s="113" t="s">
        <v>140</v>
      </c>
      <c r="I32" s="142"/>
      <c r="J32" s="67">
        <v>18.03</v>
      </c>
      <c r="K32" s="142">
        <v>858.36</v>
      </c>
      <c r="L32" s="142"/>
      <c r="M32" s="142"/>
      <c r="N32" s="142"/>
      <c r="O32" s="93"/>
      <c r="P32" s="93"/>
      <c r="Q32" s="142"/>
      <c r="R32" s="142"/>
      <c r="S32" s="142"/>
      <c r="T32" s="142" t="s">
        <v>472</v>
      </c>
      <c r="U32" s="142" t="s">
        <v>451</v>
      </c>
    </row>
    <row r="33" spans="1:21" ht="118.5">
      <c r="A33" s="93">
        <v>1</v>
      </c>
      <c r="B33" s="103" t="s">
        <v>462</v>
      </c>
      <c r="C33" s="103" t="s">
        <v>10</v>
      </c>
      <c r="D33" s="124" t="s">
        <v>473</v>
      </c>
      <c r="E33" s="43" t="s">
        <v>474</v>
      </c>
      <c r="F33" s="43" t="s">
        <v>159</v>
      </c>
      <c r="G33" s="43" t="s">
        <v>251</v>
      </c>
      <c r="H33" s="113" t="s">
        <v>140</v>
      </c>
      <c r="I33" s="142" t="s">
        <v>475</v>
      </c>
      <c r="J33" s="67">
        <v>2.615</v>
      </c>
      <c r="K33" s="142">
        <v>104.15</v>
      </c>
      <c r="L33" s="142" t="s">
        <v>476</v>
      </c>
      <c r="M33" s="142" t="s">
        <v>477</v>
      </c>
      <c r="N33" s="142"/>
      <c r="O33" s="93"/>
      <c r="P33" s="93"/>
      <c r="Q33" s="142">
        <v>104.07</v>
      </c>
      <c r="R33" s="142">
        <v>48.65</v>
      </c>
      <c r="S33" s="142"/>
      <c r="T33" s="142" t="s">
        <v>400</v>
      </c>
      <c r="U33" s="142" t="s">
        <v>451</v>
      </c>
    </row>
    <row r="34" spans="1:21" ht="66">
      <c r="A34" s="93">
        <v>2</v>
      </c>
      <c r="B34" s="103" t="s">
        <v>462</v>
      </c>
      <c r="C34" s="103" t="s">
        <v>10</v>
      </c>
      <c r="D34" s="124" t="s">
        <v>478</v>
      </c>
      <c r="E34" s="43" t="s">
        <v>479</v>
      </c>
      <c r="F34" s="43" t="s">
        <v>159</v>
      </c>
      <c r="G34" s="43" t="s">
        <v>251</v>
      </c>
      <c r="H34" s="113" t="s">
        <v>140</v>
      </c>
      <c r="I34" s="142" t="s">
        <v>480</v>
      </c>
      <c r="J34" s="67">
        <v>4.17</v>
      </c>
      <c r="K34" s="142">
        <v>162.19</v>
      </c>
      <c r="L34" s="142" t="s">
        <v>481</v>
      </c>
      <c r="M34" s="142" t="s">
        <v>482</v>
      </c>
      <c r="N34" s="142"/>
      <c r="O34" s="93"/>
      <c r="P34" s="93"/>
      <c r="Q34" s="142">
        <v>173.49</v>
      </c>
      <c r="R34" s="142">
        <v>70</v>
      </c>
      <c r="S34" s="142">
        <v>2.5</v>
      </c>
      <c r="T34" s="142" t="s">
        <v>400</v>
      </c>
      <c r="U34" s="142" t="s">
        <v>451</v>
      </c>
    </row>
    <row r="35" spans="1:21" ht="78.75">
      <c r="A35" s="93">
        <v>3</v>
      </c>
      <c r="B35" s="103" t="s">
        <v>462</v>
      </c>
      <c r="C35" s="103" t="s">
        <v>10</v>
      </c>
      <c r="D35" s="124" t="s">
        <v>483</v>
      </c>
      <c r="E35" s="43" t="s">
        <v>484</v>
      </c>
      <c r="F35" s="43" t="s">
        <v>159</v>
      </c>
      <c r="G35" s="43" t="s">
        <v>251</v>
      </c>
      <c r="H35" s="113" t="s">
        <v>140</v>
      </c>
      <c r="I35" s="142" t="s">
        <v>315</v>
      </c>
      <c r="J35" s="67">
        <v>27.49</v>
      </c>
      <c r="K35" s="142">
        <v>1040.94</v>
      </c>
      <c r="L35" s="142" t="s">
        <v>485</v>
      </c>
      <c r="M35" s="142" t="s">
        <v>486</v>
      </c>
      <c r="N35" s="142"/>
      <c r="O35" s="93"/>
      <c r="P35" s="93"/>
      <c r="Q35" s="142">
        <v>1135.25</v>
      </c>
      <c r="R35" s="142">
        <v>504</v>
      </c>
      <c r="S35" s="142"/>
      <c r="T35" s="142" t="s">
        <v>400</v>
      </c>
      <c r="U35" s="142" t="s">
        <v>451</v>
      </c>
    </row>
    <row r="36" spans="1:21" ht="66">
      <c r="A36" s="93">
        <v>1</v>
      </c>
      <c r="B36" s="103" t="s">
        <v>462</v>
      </c>
      <c r="C36" s="103" t="s">
        <v>10</v>
      </c>
      <c r="D36" s="124" t="s">
        <v>487</v>
      </c>
      <c r="E36" s="43" t="s">
        <v>488</v>
      </c>
      <c r="F36" s="43" t="s">
        <v>159</v>
      </c>
      <c r="G36" s="43" t="s">
        <v>166</v>
      </c>
      <c r="H36" s="113" t="s">
        <v>166</v>
      </c>
      <c r="I36" s="142"/>
      <c r="J36" s="67">
        <v>22</v>
      </c>
      <c r="K36" s="142">
        <v>882.29</v>
      </c>
      <c r="L36" s="142"/>
      <c r="M36" s="142"/>
      <c r="N36" s="142"/>
      <c r="O36" s="93"/>
      <c r="P36" s="93"/>
      <c r="Q36" s="142"/>
      <c r="R36" s="142"/>
      <c r="S36" s="142"/>
      <c r="T36" s="142" t="s">
        <v>489</v>
      </c>
      <c r="U36" s="142" t="s">
        <v>451</v>
      </c>
    </row>
    <row r="37" spans="1:21" ht="54.75">
      <c r="A37" s="93">
        <v>1</v>
      </c>
      <c r="B37" s="103" t="s">
        <v>221</v>
      </c>
      <c r="C37" s="93" t="s">
        <v>12</v>
      </c>
      <c r="D37" s="36" t="s">
        <v>554</v>
      </c>
      <c r="E37" s="113" t="s">
        <v>512</v>
      </c>
      <c r="F37" s="103" t="s">
        <v>135</v>
      </c>
      <c r="G37" s="52" t="s">
        <v>492</v>
      </c>
      <c r="H37" s="52" t="s">
        <v>492</v>
      </c>
      <c r="I37" s="204" t="s">
        <v>555</v>
      </c>
      <c r="J37" s="104">
        <v>9.88</v>
      </c>
      <c r="K37" s="104">
        <v>233.58</v>
      </c>
      <c r="L37" s="187" t="s">
        <v>556</v>
      </c>
      <c r="M37" s="187" t="s">
        <v>557</v>
      </c>
      <c r="N37" s="104"/>
      <c r="O37" s="104">
        <v>311.19</v>
      </c>
      <c r="P37" s="104"/>
      <c r="Q37" s="104">
        <f>SUM(O37:P37)</f>
        <v>311.19</v>
      </c>
      <c r="R37" s="104">
        <f>451.73+179.69</f>
        <v>631.4200000000001</v>
      </c>
      <c r="S37" s="104">
        <v>9.88</v>
      </c>
      <c r="T37" s="105" t="s">
        <v>284</v>
      </c>
      <c r="U37" s="106" t="s">
        <v>143</v>
      </c>
    </row>
    <row r="38" spans="1:21" ht="123.75">
      <c r="A38" s="93">
        <v>2</v>
      </c>
      <c r="B38" s="103" t="s">
        <v>221</v>
      </c>
      <c r="C38" s="93" t="s">
        <v>12</v>
      </c>
      <c r="D38" s="36" t="s">
        <v>558</v>
      </c>
      <c r="E38" s="113" t="s">
        <v>559</v>
      </c>
      <c r="F38" s="103" t="s">
        <v>175</v>
      </c>
      <c r="G38" s="52" t="s">
        <v>492</v>
      </c>
      <c r="H38" s="52" t="s">
        <v>492</v>
      </c>
      <c r="I38" s="204"/>
      <c r="J38" s="104" t="s">
        <v>141</v>
      </c>
      <c r="K38" s="104">
        <v>153.11</v>
      </c>
      <c r="L38" s="187"/>
      <c r="M38" s="187"/>
      <c r="N38" s="104"/>
      <c r="O38" s="104">
        <v>203.99</v>
      </c>
      <c r="P38" s="104"/>
      <c r="Q38" s="104">
        <f>SUM(O38:P38)</f>
        <v>203.99</v>
      </c>
      <c r="R38" s="104">
        <v>57.18</v>
      </c>
      <c r="S38" s="104" t="s">
        <v>141</v>
      </c>
      <c r="T38" s="105" t="s">
        <v>284</v>
      </c>
      <c r="U38" s="106" t="s">
        <v>143</v>
      </c>
    </row>
    <row r="39" spans="1:21" ht="123.75">
      <c r="A39" s="93">
        <v>1</v>
      </c>
      <c r="B39" s="103" t="s">
        <v>221</v>
      </c>
      <c r="C39" s="93" t="s">
        <v>12</v>
      </c>
      <c r="D39" s="36" t="s">
        <v>584</v>
      </c>
      <c r="E39" s="97" t="s">
        <v>585</v>
      </c>
      <c r="F39" s="103" t="s">
        <v>175</v>
      </c>
      <c r="G39" s="52" t="s">
        <v>12</v>
      </c>
      <c r="H39" s="52" t="s">
        <v>12</v>
      </c>
      <c r="I39" s="103" t="s">
        <v>586</v>
      </c>
      <c r="J39" s="104" t="s">
        <v>141</v>
      </c>
      <c r="K39" s="104">
        <v>86.54</v>
      </c>
      <c r="L39" s="104" t="s">
        <v>587</v>
      </c>
      <c r="M39" s="104" t="s">
        <v>588</v>
      </c>
      <c r="N39" s="104" t="s">
        <v>141</v>
      </c>
      <c r="O39" s="104"/>
      <c r="P39" s="104"/>
      <c r="Q39" s="104"/>
      <c r="R39" s="104">
        <v>35.6</v>
      </c>
      <c r="S39" s="104"/>
      <c r="T39" s="105" t="s">
        <v>284</v>
      </c>
      <c r="U39" s="106" t="s">
        <v>143</v>
      </c>
    </row>
    <row r="40" spans="1:21" ht="46.5">
      <c r="A40" s="93">
        <v>3</v>
      </c>
      <c r="B40" s="103" t="s">
        <v>279</v>
      </c>
      <c r="C40" s="93" t="s">
        <v>12</v>
      </c>
      <c r="D40" s="37" t="s">
        <v>626</v>
      </c>
      <c r="E40" s="113" t="s">
        <v>500</v>
      </c>
      <c r="F40" s="103" t="s">
        <v>135</v>
      </c>
      <c r="G40" s="103" t="s">
        <v>492</v>
      </c>
      <c r="H40" s="103" t="s">
        <v>492</v>
      </c>
      <c r="I40" s="103" t="s">
        <v>627</v>
      </c>
      <c r="J40" s="104">
        <v>16.14</v>
      </c>
      <c r="K40" s="104">
        <v>475.3</v>
      </c>
      <c r="L40" s="103" t="s">
        <v>628</v>
      </c>
      <c r="M40" s="103" t="s">
        <v>629</v>
      </c>
      <c r="N40" s="103"/>
      <c r="O40" s="104">
        <v>449.79</v>
      </c>
      <c r="P40" s="104"/>
      <c r="Q40" s="104">
        <f>SUM(O40:P40)</f>
        <v>449.79</v>
      </c>
      <c r="R40" s="104">
        <f>43.88+475.02</f>
        <v>518.9</v>
      </c>
      <c r="S40" s="104">
        <v>16.14</v>
      </c>
      <c r="T40" s="105" t="s">
        <v>284</v>
      </c>
      <c r="U40" s="105" t="s">
        <v>143</v>
      </c>
    </row>
    <row r="41" spans="1:21" ht="62.25">
      <c r="A41" s="100">
        <v>2</v>
      </c>
      <c r="B41" s="103" t="s">
        <v>279</v>
      </c>
      <c r="C41" s="93" t="s">
        <v>12</v>
      </c>
      <c r="D41" s="37" t="s">
        <v>630</v>
      </c>
      <c r="E41" s="113" t="s">
        <v>515</v>
      </c>
      <c r="F41" s="104" t="s">
        <v>159</v>
      </c>
      <c r="G41" s="103" t="s">
        <v>12</v>
      </c>
      <c r="H41" s="102" t="s">
        <v>12</v>
      </c>
      <c r="I41" s="103" t="s">
        <v>631</v>
      </c>
      <c r="J41" s="104">
        <v>13.2</v>
      </c>
      <c r="K41" s="104">
        <v>437.11</v>
      </c>
      <c r="L41" s="103" t="s">
        <v>632</v>
      </c>
      <c r="M41" s="103" t="s">
        <v>633</v>
      </c>
      <c r="N41" s="103"/>
      <c r="O41" s="104">
        <f>408.01+272.87</f>
        <v>680.88</v>
      </c>
      <c r="P41" s="104"/>
      <c r="Q41" s="104">
        <f>SUM(O41:P41)</f>
        <v>680.88</v>
      </c>
      <c r="R41" s="108">
        <v>415.08</v>
      </c>
      <c r="S41" s="104">
        <v>12.5</v>
      </c>
      <c r="T41" s="55" t="s">
        <v>284</v>
      </c>
      <c r="U41" s="55" t="s">
        <v>261</v>
      </c>
    </row>
    <row r="42" spans="1:21" ht="92.25">
      <c r="A42" s="93">
        <v>4</v>
      </c>
      <c r="B42" s="103" t="s">
        <v>313</v>
      </c>
      <c r="C42" s="93" t="s">
        <v>12</v>
      </c>
      <c r="D42" s="39" t="s">
        <v>634</v>
      </c>
      <c r="E42" s="93" t="s">
        <v>491</v>
      </c>
      <c r="F42" s="103" t="s">
        <v>135</v>
      </c>
      <c r="G42" s="103" t="s">
        <v>492</v>
      </c>
      <c r="H42" s="103" t="s">
        <v>492</v>
      </c>
      <c r="I42" s="103" t="s">
        <v>315</v>
      </c>
      <c r="J42" s="96">
        <v>7.19</v>
      </c>
      <c r="K42" s="104">
        <v>300.98</v>
      </c>
      <c r="L42" s="104" t="s">
        <v>635</v>
      </c>
      <c r="M42" s="104" t="s">
        <v>636</v>
      </c>
      <c r="N42" s="104"/>
      <c r="O42" s="104">
        <v>226.17</v>
      </c>
      <c r="P42" s="104"/>
      <c r="Q42" s="104">
        <f>SUM(O42:P42)</f>
        <v>226.17</v>
      </c>
      <c r="R42" s="104">
        <v>166.96</v>
      </c>
      <c r="S42" s="104">
        <v>6.3</v>
      </c>
      <c r="T42" s="56" t="s">
        <v>637</v>
      </c>
      <c r="U42" s="56" t="s">
        <v>143</v>
      </c>
    </row>
    <row r="43" spans="1:21" ht="66">
      <c r="A43" s="93">
        <v>3</v>
      </c>
      <c r="B43" s="103" t="s">
        <v>313</v>
      </c>
      <c r="C43" s="93" t="s">
        <v>12</v>
      </c>
      <c r="D43" s="39" t="s">
        <v>644</v>
      </c>
      <c r="E43" s="93" t="s">
        <v>509</v>
      </c>
      <c r="F43" s="103" t="s">
        <v>135</v>
      </c>
      <c r="G43" s="103" t="s">
        <v>12</v>
      </c>
      <c r="H43" s="103" t="s">
        <v>12</v>
      </c>
      <c r="I43" s="103" t="s">
        <v>645</v>
      </c>
      <c r="J43" s="96">
        <v>6.83</v>
      </c>
      <c r="K43" s="104">
        <v>300.23</v>
      </c>
      <c r="L43" s="104" t="s">
        <v>576</v>
      </c>
      <c r="M43" s="104" t="s">
        <v>646</v>
      </c>
      <c r="N43" s="104"/>
      <c r="O43" s="104">
        <v>290.45</v>
      </c>
      <c r="P43" s="104"/>
      <c r="Q43" s="104">
        <f>SUM(O43:P43)</f>
        <v>290.45</v>
      </c>
      <c r="R43" s="104">
        <v>267.11</v>
      </c>
      <c r="S43" s="104">
        <v>6.73</v>
      </c>
      <c r="T43" s="56" t="s">
        <v>284</v>
      </c>
      <c r="U43" s="56" t="s">
        <v>143</v>
      </c>
    </row>
    <row r="44" spans="1:21" ht="118.5">
      <c r="A44" s="93">
        <v>5</v>
      </c>
      <c r="B44" s="103" t="s">
        <v>313</v>
      </c>
      <c r="C44" s="93" t="s">
        <v>12</v>
      </c>
      <c r="D44" s="39" t="s">
        <v>647</v>
      </c>
      <c r="E44" s="93" t="s">
        <v>512</v>
      </c>
      <c r="F44" s="141" t="s">
        <v>175</v>
      </c>
      <c r="G44" s="103" t="s">
        <v>492</v>
      </c>
      <c r="H44" s="103" t="s">
        <v>492</v>
      </c>
      <c r="I44" s="103" t="s">
        <v>315</v>
      </c>
      <c r="J44" s="59" t="s">
        <v>141</v>
      </c>
      <c r="K44" s="104">
        <v>77.6</v>
      </c>
      <c r="L44" s="104" t="s">
        <v>648</v>
      </c>
      <c r="M44" s="104" t="s">
        <v>283</v>
      </c>
      <c r="N44" s="104"/>
      <c r="O44" s="104">
        <v>59.16</v>
      </c>
      <c r="P44" s="104"/>
      <c r="Q44" s="104">
        <f>SUM(O44:P44)</f>
        <v>59.16</v>
      </c>
      <c r="R44" s="104">
        <v>31.81</v>
      </c>
      <c r="S44" s="104" t="s">
        <v>141</v>
      </c>
      <c r="T44" s="56" t="s">
        <v>284</v>
      </c>
      <c r="U44" s="56" t="s">
        <v>261</v>
      </c>
    </row>
    <row r="45" spans="1:21" ht="78.75">
      <c r="A45" s="93">
        <v>6</v>
      </c>
      <c r="B45" s="103" t="s">
        <v>395</v>
      </c>
      <c r="C45" s="93" t="s">
        <v>12</v>
      </c>
      <c r="D45" s="136" t="s">
        <v>649</v>
      </c>
      <c r="E45" s="146" t="s">
        <v>491</v>
      </c>
      <c r="F45" s="146" t="s">
        <v>159</v>
      </c>
      <c r="G45" s="146" t="s">
        <v>492</v>
      </c>
      <c r="H45" s="131" t="s">
        <v>492</v>
      </c>
      <c r="I45" s="131" t="s">
        <v>650</v>
      </c>
      <c r="J45" s="131">
        <v>10</v>
      </c>
      <c r="K45" s="131">
        <v>464.92</v>
      </c>
      <c r="L45" s="131" t="s">
        <v>651</v>
      </c>
      <c r="M45" s="131" t="s">
        <v>652</v>
      </c>
      <c r="N45" s="131"/>
      <c r="O45" s="93"/>
      <c r="P45" s="93"/>
      <c r="Q45" s="131">
        <v>436.14</v>
      </c>
      <c r="R45" s="131">
        <v>366.24</v>
      </c>
      <c r="S45" s="131">
        <v>5.3</v>
      </c>
      <c r="T45" s="131" t="s">
        <v>400</v>
      </c>
      <c r="U45" s="93"/>
    </row>
    <row r="46" spans="1:21" ht="118.5">
      <c r="A46" s="93">
        <v>7</v>
      </c>
      <c r="B46" s="103" t="s">
        <v>395</v>
      </c>
      <c r="C46" s="93" t="s">
        <v>12</v>
      </c>
      <c r="D46" s="136" t="s">
        <v>653</v>
      </c>
      <c r="E46" s="146" t="s">
        <v>497</v>
      </c>
      <c r="F46" s="146" t="s">
        <v>159</v>
      </c>
      <c r="G46" s="146" t="s">
        <v>492</v>
      </c>
      <c r="H46" s="131" t="s">
        <v>492</v>
      </c>
      <c r="I46" s="131" t="s">
        <v>654</v>
      </c>
      <c r="J46" s="131">
        <v>5.8</v>
      </c>
      <c r="K46" s="131">
        <v>242.01</v>
      </c>
      <c r="L46" s="131" t="s">
        <v>655</v>
      </c>
      <c r="M46" s="131" t="s">
        <v>656</v>
      </c>
      <c r="N46" s="131"/>
      <c r="O46" s="93"/>
      <c r="P46" s="93"/>
      <c r="Q46" s="131">
        <v>245.23</v>
      </c>
      <c r="R46" s="131">
        <v>230.67</v>
      </c>
      <c r="S46" s="131">
        <v>5.8</v>
      </c>
      <c r="T46" s="131" t="s">
        <v>400</v>
      </c>
      <c r="U46" s="93"/>
    </row>
    <row r="47" spans="1:21" ht="78.75">
      <c r="A47" s="93">
        <v>4</v>
      </c>
      <c r="B47" s="103" t="s">
        <v>395</v>
      </c>
      <c r="C47" s="93" t="s">
        <v>12</v>
      </c>
      <c r="D47" s="136" t="s">
        <v>657</v>
      </c>
      <c r="E47" s="146" t="s">
        <v>658</v>
      </c>
      <c r="F47" s="146" t="s">
        <v>159</v>
      </c>
      <c r="G47" s="146" t="s">
        <v>12</v>
      </c>
      <c r="H47" s="131" t="s">
        <v>12</v>
      </c>
      <c r="I47" s="131" t="s">
        <v>659</v>
      </c>
      <c r="J47" s="131">
        <v>14</v>
      </c>
      <c r="K47" s="131">
        <v>611.58</v>
      </c>
      <c r="L47" s="131" t="s">
        <v>660</v>
      </c>
      <c r="M47" s="131" t="s">
        <v>661</v>
      </c>
      <c r="N47" s="131"/>
      <c r="O47" s="93"/>
      <c r="P47" s="93"/>
      <c r="Q47" s="131">
        <v>609.59</v>
      </c>
      <c r="R47" s="131">
        <v>216.96</v>
      </c>
      <c r="S47" s="131"/>
      <c r="T47" s="131" t="s">
        <v>400</v>
      </c>
      <c r="U47" s="93"/>
    </row>
    <row r="48" spans="1:21" ht="118.5">
      <c r="A48" s="93">
        <v>8</v>
      </c>
      <c r="B48" s="103" t="s">
        <v>415</v>
      </c>
      <c r="C48" s="93" t="s">
        <v>12</v>
      </c>
      <c r="D48" s="64" t="s">
        <v>686</v>
      </c>
      <c r="E48" s="146" t="s">
        <v>491</v>
      </c>
      <c r="F48" s="146" t="s">
        <v>135</v>
      </c>
      <c r="G48" s="146" t="s">
        <v>492</v>
      </c>
      <c r="H48" s="147" t="s">
        <v>492</v>
      </c>
      <c r="I48" s="147" t="s">
        <v>687</v>
      </c>
      <c r="J48" s="131">
        <v>5.3</v>
      </c>
      <c r="K48" s="131">
        <v>261.8</v>
      </c>
      <c r="L48" s="63" t="s">
        <v>688</v>
      </c>
      <c r="M48" s="63" t="s">
        <v>689</v>
      </c>
      <c r="N48" s="63"/>
      <c r="O48" s="93"/>
      <c r="P48" s="93"/>
      <c r="Q48" s="98">
        <v>218.19</v>
      </c>
      <c r="R48" s="98">
        <v>206.06</v>
      </c>
      <c r="S48" s="98">
        <v>5.3</v>
      </c>
      <c r="T48" s="63" t="s">
        <v>400</v>
      </c>
      <c r="U48" s="63" t="s">
        <v>451</v>
      </c>
    </row>
    <row r="49" spans="1:21" ht="105">
      <c r="A49" s="93">
        <v>5</v>
      </c>
      <c r="B49" s="103" t="s">
        <v>415</v>
      </c>
      <c r="C49" s="93" t="s">
        <v>12</v>
      </c>
      <c r="D49" s="64" t="s">
        <v>690</v>
      </c>
      <c r="E49" s="146" t="s">
        <v>497</v>
      </c>
      <c r="F49" s="146" t="s">
        <v>159</v>
      </c>
      <c r="G49" s="146" t="s">
        <v>12</v>
      </c>
      <c r="H49" s="147" t="s">
        <v>12</v>
      </c>
      <c r="I49" s="147" t="s">
        <v>475</v>
      </c>
      <c r="J49" s="131">
        <v>3.31</v>
      </c>
      <c r="K49" s="131">
        <v>121.16</v>
      </c>
      <c r="L49" s="63" t="s">
        <v>691</v>
      </c>
      <c r="M49" s="63" t="s">
        <v>692</v>
      </c>
      <c r="N49" s="63"/>
      <c r="O49" s="93"/>
      <c r="P49" s="93"/>
      <c r="Q49" s="98">
        <v>104.3</v>
      </c>
      <c r="R49" s="98">
        <v>93.35</v>
      </c>
      <c r="S49" s="98">
        <v>3.31</v>
      </c>
      <c r="T49" s="63" t="s">
        <v>400</v>
      </c>
      <c r="U49" s="63" t="s">
        <v>141</v>
      </c>
    </row>
    <row r="50" spans="1:21" ht="105">
      <c r="A50" s="93">
        <v>6</v>
      </c>
      <c r="B50" s="103" t="s">
        <v>415</v>
      </c>
      <c r="C50" s="93" t="s">
        <v>12</v>
      </c>
      <c r="D50" s="64" t="s">
        <v>693</v>
      </c>
      <c r="E50" s="146" t="s">
        <v>500</v>
      </c>
      <c r="F50" s="146" t="s">
        <v>159</v>
      </c>
      <c r="G50" s="146" t="s">
        <v>12</v>
      </c>
      <c r="H50" s="147" t="s">
        <v>12</v>
      </c>
      <c r="I50" s="147" t="s">
        <v>650</v>
      </c>
      <c r="J50" s="131">
        <v>7.19</v>
      </c>
      <c r="K50" s="131">
        <v>282.99</v>
      </c>
      <c r="L50" s="63" t="s">
        <v>694</v>
      </c>
      <c r="M50" s="63" t="s">
        <v>695</v>
      </c>
      <c r="N50" s="63"/>
      <c r="O50" s="93"/>
      <c r="P50" s="93"/>
      <c r="Q50" s="98">
        <v>326.56</v>
      </c>
      <c r="R50" s="98">
        <v>235.55</v>
      </c>
      <c r="S50" s="98">
        <v>2.5</v>
      </c>
      <c r="T50" s="63" t="s">
        <v>400</v>
      </c>
      <c r="U50" s="63" t="s">
        <v>141</v>
      </c>
    </row>
    <row r="51" spans="1:21" ht="92.25">
      <c r="A51" s="93">
        <v>7</v>
      </c>
      <c r="B51" s="103" t="s">
        <v>415</v>
      </c>
      <c r="C51" s="93" t="s">
        <v>12</v>
      </c>
      <c r="D51" s="64" t="s">
        <v>696</v>
      </c>
      <c r="E51" s="146" t="s">
        <v>515</v>
      </c>
      <c r="F51" s="146" t="s">
        <v>159</v>
      </c>
      <c r="G51" s="146" t="s">
        <v>12</v>
      </c>
      <c r="H51" s="147" t="s">
        <v>12</v>
      </c>
      <c r="I51" s="147" t="s">
        <v>697</v>
      </c>
      <c r="J51" s="131">
        <v>6.82</v>
      </c>
      <c r="K51" s="131">
        <v>241.46</v>
      </c>
      <c r="L51" s="63" t="s">
        <v>698</v>
      </c>
      <c r="M51" s="63" t="s">
        <v>699</v>
      </c>
      <c r="N51" s="63"/>
      <c r="O51" s="93"/>
      <c r="P51" s="93"/>
      <c r="Q51" s="98">
        <v>240.25</v>
      </c>
      <c r="R51" s="98">
        <v>158.34</v>
      </c>
      <c r="S51" s="98">
        <v>6.82</v>
      </c>
      <c r="T51" s="63" t="s">
        <v>400</v>
      </c>
      <c r="U51" s="63" t="s">
        <v>141</v>
      </c>
    </row>
    <row r="52" spans="1:21" ht="92.25">
      <c r="A52" s="93">
        <v>8</v>
      </c>
      <c r="B52" s="103" t="s">
        <v>415</v>
      </c>
      <c r="C52" s="93" t="s">
        <v>12</v>
      </c>
      <c r="D52" s="64" t="s">
        <v>700</v>
      </c>
      <c r="E52" s="146" t="s">
        <v>509</v>
      </c>
      <c r="F52" s="146" t="s">
        <v>159</v>
      </c>
      <c r="G52" s="146" t="s">
        <v>12</v>
      </c>
      <c r="H52" s="147" t="s">
        <v>12</v>
      </c>
      <c r="I52" s="147" t="s">
        <v>475</v>
      </c>
      <c r="J52" s="131">
        <v>7.79</v>
      </c>
      <c r="K52" s="131">
        <v>310.03</v>
      </c>
      <c r="L52" s="63" t="s">
        <v>674</v>
      </c>
      <c r="M52" s="63" t="s">
        <v>675</v>
      </c>
      <c r="N52" s="63"/>
      <c r="O52" s="93"/>
      <c r="P52" s="93"/>
      <c r="Q52" s="98">
        <v>331.48</v>
      </c>
      <c r="R52" s="98">
        <v>129.92</v>
      </c>
      <c r="S52" s="98"/>
      <c r="T52" s="63" t="s">
        <v>400</v>
      </c>
      <c r="U52" s="63" t="s">
        <v>141</v>
      </c>
    </row>
    <row r="53" spans="1:21" ht="66">
      <c r="A53" s="93">
        <v>9</v>
      </c>
      <c r="B53" s="103" t="s">
        <v>415</v>
      </c>
      <c r="C53" s="93" t="s">
        <v>12</v>
      </c>
      <c r="D53" s="64" t="s">
        <v>701</v>
      </c>
      <c r="E53" s="146" t="s">
        <v>512</v>
      </c>
      <c r="F53" s="146" t="s">
        <v>159</v>
      </c>
      <c r="G53" s="167" t="s">
        <v>12</v>
      </c>
      <c r="H53" s="147" t="s">
        <v>492</v>
      </c>
      <c r="I53" s="147" t="s">
        <v>702</v>
      </c>
      <c r="J53" s="131">
        <v>7.67</v>
      </c>
      <c r="K53" s="131">
        <v>281</v>
      </c>
      <c r="L53" s="63" t="s">
        <v>703</v>
      </c>
      <c r="M53" s="63" t="s">
        <v>704</v>
      </c>
      <c r="N53" s="63"/>
      <c r="O53" s="93"/>
      <c r="P53" s="93"/>
      <c r="Q53" s="98">
        <v>274.79</v>
      </c>
      <c r="R53" s="98">
        <v>209.36</v>
      </c>
      <c r="S53" s="98">
        <v>5</v>
      </c>
      <c r="T53" s="63" t="s">
        <v>400</v>
      </c>
      <c r="U53" s="63" t="s">
        <v>141</v>
      </c>
    </row>
    <row r="54" spans="1:21" ht="92.25">
      <c r="A54" s="93">
        <v>10</v>
      </c>
      <c r="B54" s="103" t="s">
        <v>415</v>
      </c>
      <c r="C54" s="93" t="s">
        <v>12</v>
      </c>
      <c r="D54" s="64" t="s">
        <v>705</v>
      </c>
      <c r="E54" s="146" t="s">
        <v>561</v>
      </c>
      <c r="F54" s="146" t="s">
        <v>159</v>
      </c>
      <c r="G54" s="146" t="s">
        <v>12</v>
      </c>
      <c r="H54" s="147" t="s">
        <v>12</v>
      </c>
      <c r="I54" s="147" t="s">
        <v>650</v>
      </c>
      <c r="J54" s="131">
        <v>5.22</v>
      </c>
      <c r="K54" s="131">
        <v>209.12</v>
      </c>
      <c r="L54" s="63" t="s">
        <v>703</v>
      </c>
      <c r="M54" s="63" t="s">
        <v>704</v>
      </c>
      <c r="N54" s="63"/>
      <c r="O54" s="93"/>
      <c r="P54" s="93"/>
      <c r="Q54" s="98">
        <v>207.96</v>
      </c>
      <c r="R54" s="98">
        <v>145.05</v>
      </c>
      <c r="S54" s="98">
        <v>3</v>
      </c>
      <c r="T54" s="63" t="s">
        <v>400</v>
      </c>
      <c r="U54" s="63" t="s">
        <v>141</v>
      </c>
    </row>
    <row r="55" spans="1:21" ht="78.75">
      <c r="A55" s="93">
        <v>1</v>
      </c>
      <c r="B55" s="103" t="s">
        <v>415</v>
      </c>
      <c r="C55" s="93" t="s">
        <v>12</v>
      </c>
      <c r="D55" s="64" t="s">
        <v>706</v>
      </c>
      <c r="E55" s="146" t="s">
        <v>559</v>
      </c>
      <c r="F55" s="146" t="s">
        <v>159</v>
      </c>
      <c r="G55" s="146" t="s">
        <v>492</v>
      </c>
      <c r="H55" s="147" t="s">
        <v>492</v>
      </c>
      <c r="I55" s="147" t="s">
        <v>707</v>
      </c>
      <c r="J55" s="131">
        <v>14.5</v>
      </c>
      <c r="K55" s="131">
        <v>565.73</v>
      </c>
      <c r="L55" s="63"/>
      <c r="M55" s="63"/>
      <c r="N55" s="63"/>
      <c r="O55" s="93"/>
      <c r="P55" s="93"/>
      <c r="Q55" s="192">
        <v>3199.99</v>
      </c>
      <c r="R55" s="225">
        <v>23.82</v>
      </c>
      <c r="S55" s="98"/>
      <c r="T55" s="65" t="s">
        <v>708</v>
      </c>
      <c r="U55" s="63" t="s">
        <v>141</v>
      </c>
    </row>
    <row r="56" spans="1:21" ht="78.75">
      <c r="A56" s="93">
        <v>2</v>
      </c>
      <c r="B56" s="103" t="s">
        <v>415</v>
      </c>
      <c r="C56" s="93" t="s">
        <v>12</v>
      </c>
      <c r="D56" s="64" t="s">
        <v>709</v>
      </c>
      <c r="E56" s="146" t="s">
        <v>567</v>
      </c>
      <c r="F56" s="146" t="s">
        <v>159</v>
      </c>
      <c r="G56" s="146" t="s">
        <v>492</v>
      </c>
      <c r="H56" s="147" t="s">
        <v>492</v>
      </c>
      <c r="I56" s="147" t="s">
        <v>650</v>
      </c>
      <c r="J56" s="131">
        <v>15.05</v>
      </c>
      <c r="K56" s="131">
        <v>625.72</v>
      </c>
      <c r="L56" s="63"/>
      <c r="M56" s="63"/>
      <c r="N56" s="63"/>
      <c r="O56" s="93"/>
      <c r="P56" s="93"/>
      <c r="Q56" s="192"/>
      <c r="R56" s="226"/>
      <c r="S56" s="98"/>
      <c r="T56" s="65" t="s">
        <v>708</v>
      </c>
      <c r="U56" s="63" t="s">
        <v>141</v>
      </c>
    </row>
    <row r="57" spans="1:21" ht="78.75">
      <c r="A57" s="93">
        <v>3</v>
      </c>
      <c r="B57" s="103" t="s">
        <v>415</v>
      </c>
      <c r="C57" s="93" t="s">
        <v>12</v>
      </c>
      <c r="D57" s="64" t="s">
        <v>710</v>
      </c>
      <c r="E57" s="146" t="s">
        <v>571</v>
      </c>
      <c r="F57" s="146" t="s">
        <v>159</v>
      </c>
      <c r="G57" s="146" t="s">
        <v>492</v>
      </c>
      <c r="H57" s="147" t="s">
        <v>492</v>
      </c>
      <c r="I57" s="147" t="s">
        <v>650</v>
      </c>
      <c r="J57" s="131">
        <v>12.9</v>
      </c>
      <c r="K57" s="131">
        <v>514.64</v>
      </c>
      <c r="L57" s="63"/>
      <c r="M57" s="63"/>
      <c r="N57" s="63"/>
      <c r="O57" s="93"/>
      <c r="P57" s="93"/>
      <c r="Q57" s="192"/>
      <c r="R57" s="226"/>
      <c r="S57" s="98"/>
      <c r="T57" s="65" t="s">
        <v>708</v>
      </c>
      <c r="U57" s="63" t="s">
        <v>141</v>
      </c>
    </row>
    <row r="58" spans="1:21" ht="78.75">
      <c r="A58" s="93">
        <v>4</v>
      </c>
      <c r="B58" s="103" t="s">
        <v>415</v>
      </c>
      <c r="C58" s="93" t="s">
        <v>12</v>
      </c>
      <c r="D58" s="64" t="s">
        <v>711</v>
      </c>
      <c r="E58" s="146" t="s">
        <v>573</v>
      </c>
      <c r="F58" s="146" t="s">
        <v>159</v>
      </c>
      <c r="G58" s="146" t="s">
        <v>492</v>
      </c>
      <c r="H58" s="147" t="s">
        <v>492</v>
      </c>
      <c r="I58" s="147"/>
      <c r="J58" s="131">
        <v>10.77</v>
      </c>
      <c r="K58" s="131">
        <v>443.31</v>
      </c>
      <c r="L58" s="63"/>
      <c r="M58" s="63"/>
      <c r="N58" s="63"/>
      <c r="O58" s="93"/>
      <c r="P58" s="93"/>
      <c r="Q58" s="192"/>
      <c r="R58" s="227"/>
      <c r="S58" s="98"/>
      <c r="T58" s="63" t="s">
        <v>489</v>
      </c>
      <c r="U58" s="63" t="s">
        <v>141</v>
      </c>
    </row>
    <row r="59" spans="1:21" ht="132">
      <c r="A59" s="93">
        <v>9</v>
      </c>
      <c r="B59" s="103" t="s">
        <v>415</v>
      </c>
      <c r="C59" s="93" t="s">
        <v>12</v>
      </c>
      <c r="D59" s="64" t="s">
        <v>713</v>
      </c>
      <c r="E59" s="146" t="s">
        <v>583</v>
      </c>
      <c r="F59" s="146" t="s">
        <v>175</v>
      </c>
      <c r="G59" s="146" t="s">
        <v>492</v>
      </c>
      <c r="H59" s="147" t="s">
        <v>492</v>
      </c>
      <c r="I59" s="147" t="s">
        <v>714</v>
      </c>
      <c r="J59" s="131" t="s">
        <v>141</v>
      </c>
      <c r="K59" s="131">
        <v>123.91</v>
      </c>
      <c r="L59" s="63" t="s">
        <v>715</v>
      </c>
      <c r="M59" s="63" t="s">
        <v>716</v>
      </c>
      <c r="N59" s="63"/>
      <c r="O59" s="93"/>
      <c r="P59" s="93"/>
      <c r="Q59" s="98">
        <v>117.61</v>
      </c>
      <c r="R59" s="98">
        <v>25</v>
      </c>
      <c r="S59" s="98"/>
      <c r="T59" s="63" t="s">
        <v>400</v>
      </c>
      <c r="U59" s="63" t="s">
        <v>141</v>
      </c>
    </row>
    <row r="60" spans="1:21" ht="132">
      <c r="A60" s="93">
        <v>10</v>
      </c>
      <c r="B60" s="103" t="s">
        <v>415</v>
      </c>
      <c r="C60" s="93" t="s">
        <v>12</v>
      </c>
      <c r="D60" s="64" t="s">
        <v>717</v>
      </c>
      <c r="E60" s="146" t="s">
        <v>553</v>
      </c>
      <c r="F60" s="146" t="s">
        <v>175</v>
      </c>
      <c r="G60" s="146" t="s">
        <v>492</v>
      </c>
      <c r="H60" s="147" t="s">
        <v>492</v>
      </c>
      <c r="I60" s="147" t="s">
        <v>718</v>
      </c>
      <c r="J60" s="131" t="s">
        <v>141</v>
      </c>
      <c r="K60" s="131">
        <v>123.46</v>
      </c>
      <c r="L60" s="63" t="s">
        <v>719</v>
      </c>
      <c r="M60" s="63" t="s">
        <v>720</v>
      </c>
      <c r="N60" s="63"/>
      <c r="O60" s="93"/>
      <c r="P60" s="93"/>
      <c r="Q60" s="98">
        <v>131.27</v>
      </c>
      <c r="R60" s="98">
        <v>20</v>
      </c>
      <c r="S60" s="98"/>
      <c r="T60" s="63" t="s">
        <v>400</v>
      </c>
      <c r="U60" s="63" t="s">
        <v>141</v>
      </c>
    </row>
    <row r="61" spans="1:21" ht="158.25">
      <c r="A61" s="93">
        <v>11</v>
      </c>
      <c r="B61" s="103" t="s">
        <v>415</v>
      </c>
      <c r="C61" s="93" t="s">
        <v>12</v>
      </c>
      <c r="D61" s="64" t="s">
        <v>721</v>
      </c>
      <c r="E61" s="146" t="s">
        <v>578</v>
      </c>
      <c r="F61" s="146" t="s">
        <v>175</v>
      </c>
      <c r="G61" s="146" t="s">
        <v>492</v>
      </c>
      <c r="H61" s="147" t="s">
        <v>492</v>
      </c>
      <c r="I61" s="147" t="s">
        <v>722</v>
      </c>
      <c r="J61" s="131" t="s">
        <v>141</v>
      </c>
      <c r="K61" s="131">
        <v>108.06</v>
      </c>
      <c r="L61" s="63" t="s">
        <v>715</v>
      </c>
      <c r="M61" s="63" t="s">
        <v>716</v>
      </c>
      <c r="N61" s="63"/>
      <c r="O61" s="93"/>
      <c r="P61" s="93"/>
      <c r="Q61" s="98">
        <v>106.98</v>
      </c>
      <c r="R61" s="98">
        <v>90.58</v>
      </c>
      <c r="S61" s="98"/>
      <c r="T61" s="63" t="s">
        <v>400</v>
      </c>
      <c r="U61" s="63" t="s">
        <v>141</v>
      </c>
    </row>
    <row r="62" spans="1:21" ht="158.25">
      <c r="A62" s="93">
        <v>12</v>
      </c>
      <c r="B62" s="103" t="s">
        <v>415</v>
      </c>
      <c r="C62" s="93" t="s">
        <v>12</v>
      </c>
      <c r="D62" s="64" t="s">
        <v>723</v>
      </c>
      <c r="E62" s="146" t="s">
        <v>581</v>
      </c>
      <c r="F62" s="146" t="s">
        <v>175</v>
      </c>
      <c r="G62" s="146" t="s">
        <v>492</v>
      </c>
      <c r="H62" s="147" t="s">
        <v>492</v>
      </c>
      <c r="I62" s="147"/>
      <c r="J62" s="131" t="s">
        <v>141</v>
      </c>
      <c r="K62" s="131">
        <v>105.31</v>
      </c>
      <c r="L62" s="63" t="s">
        <v>688</v>
      </c>
      <c r="M62" s="63" t="s">
        <v>689</v>
      </c>
      <c r="N62" s="63"/>
      <c r="O62" s="93"/>
      <c r="P62" s="93"/>
      <c r="Q62" s="98">
        <v>103.44</v>
      </c>
      <c r="R62" s="98">
        <v>128.5</v>
      </c>
      <c r="S62" s="98"/>
      <c r="T62" s="63" t="s">
        <v>400</v>
      </c>
      <c r="U62" s="63" t="s">
        <v>141</v>
      </c>
    </row>
    <row r="63" spans="1:21" ht="158.25">
      <c r="A63" s="93">
        <v>13</v>
      </c>
      <c r="B63" s="103" t="s">
        <v>415</v>
      </c>
      <c r="C63" s="93" t="s">
        <v>12</v>
      </c>
      <c r="D63" s="64" t="s">
        <v>724</v>
      </c>
      <c r="E63" s="146" t="s">
        <v>585</v>
      </c>
      <c r="F63" s="146" t="s">
        <v>175</v>
      </c>
      <c r="G63" s="146" t="s">
        <v>492</v>
      </c>
      <c r="H63" s="147" t="s">
        <v>492</v>
      </c>
      <c r="I63" s="147" t="s">
        <v>725</v>
      </c>
      <c r="J63" s="131" t="s">
        <v>141</v>
      </c>
      <c r="K63" s="131">
        <v>105.65</v>
      </c>
      <c r="L63" s="63" t="s">
        <v>556</v>
      </c>
      <c r="M63" s="63" t="s">
        <v>557</v>
      </c>
      <c r="N63" s="63"/>
      <c r="O63" s="93"/>
      <c r="P63" s="93"/>
      <c r="Q63" s="98">
        <v>104.2</v>
      </c>
      <c r="R63" s="98">
        <v>107.17</v>
      </c>
      <c r="S63" s="98"/>
      <c r="T63" s="63" t="s">
        <v>400</v>
      </c>
      <c r="U63" s="63" t="s">
        <v>141</v>
      </c>
    </row>
    <row r="64" spans="1:21" ht="171">
      <c r="A64" s="93">
        <v>2</v>
      </c>
      <c r="B64" s="103" t="s">
        <v>415</v>
      </c>
      <c r="C64" s="93" t="s">
        <v>12</v>
      </c>
      <c r="D64" s="64" t="s">
        <v>726</v>
      </c>
      <c r="E64" s="146" t="s">
        <v>658</v>
      </c>
      <c r="F64" s="146" t="s">
        <v>175</v>
      </c>
      <c r="G64" s="146" t="s">
        <v>492</v>
      </c>
      <c r="H64" s="147" t="s">
        <v>492</v>
      </c>
      <c r="I64" s="147" t="s">
        <v>727</v>
      </c>
      <c r="J64" s="131" t="s">
        <v>141</v>
      </c>
      <c r="K64" s="131">
        <v>211.74</v>
      </c>
      <c r="L64" s="63"/>
      <c r="M64" s="63"/>
      <c r="N64" s="63"/>
      <c r="O64" s="93"/>
      <c r="P64" s="93"/>
      <c r="Q64" s="98"/>
      <c r="R64" s="98"/>
      <c r="S64" s="98"/>
      <c r="T64" s="65" t="s">
        <v>728</v>
      </c>
      <c r="U64" s="142" t="s">
        <v>729</v>
      </c>
    </row>
    <row r="65" spans="1:21" ht="132">
      <c r="A65" s="93">
        <v>14</v>
      </c>
      <c r="B65" s="103" t="s">
        <v>415</v>
      </c>
      <c r="C65" s="93" t="s">
        <v>12</v>
      </c>
      <c r="D65" s="64" t="s">
        <v>730</v>
      </c>
      <c r="E65" s="146" t="s">
        <v>663</v>
      </c>
      <c r="F65" s="146" t="s">
        <v>175</v>
      </c>
      <c r="G65" s="146" t="s">
        <v>492</v>
      </c>
      <c r="H65" s="147" t="s">
        <v>492</v>
      </c>
      <c r="I65" s="147" t="s">
        <v>714</v>
      </c>
      <c r="J65" s="131" t="s">
        <v>141</v>
      </c>
      <c r="K65" s="131">
        <v>211.73</v>
      </c>
      <c r="L65" s="63" t="s">
        <v>321</v>
      </c>
      <c r="M65" s="63" t="s">
        <v>587</v>
      </c>
      <c r="N65" s="63"/>
      <c r="O65" s="93"/>
      <c r="P65" s="93"/>
      <c r="Q65" s="98">
        <v>205</v>
      </c>
      <c r="R65" s="98">
        <v>234.83</v>
      </c>
      <c r="S65" s="98"/>
      <c r="T65" s="63" t="s">
        <v>400</v>
      </c>
      <c r="U65" s="63" t="s">
        <v>141</v>
      </c>
    </row>
    <row r="66" spans="1:21" ht="78.75">
      <c r="A66" s="93">
        <v>11</v>
      </c>
      <c r="B66" s="103" t="s">
        <v>445</v>
      </c>
      <c r="C66" s="93" t="s">
        <v>12</v>
      </c>
      <c r="D66" s="66" t="s">
        <v>748</v>
      </c>
      <c r="E66" s="43" t="s">
        <v>749</v>
      </c>
      <c r="F66" s="43" t="s">
        <v>135</v>
      </c>
      <c r="G66" s="43" t="s">
        <v>12</v>
      </c>
      <c r="H66" s="43" t="s">
        <v>12</v>
      </c>
      <c r="I66" s="142" t="s">
        <v>750</v>
      </c>
      <c r="J66" s="67">
        <v>8.305</v>
      </c>
      <c r="K66" s="142">
        <v>384.01</v>
      </c>
      <c r="L66" s="142" t="s">
        <v>485</v>
      </c>
      <c r="M66" s="142" t="s">
        <v>751</v>
      </c>
      <c r="N66" s="142"/>
      <c r="O66" s="93"/>
      <c r="P66" s="93"/>
      <c r="Q66" s="142">
        <v>306.57</v>
      </c>
      <c r="R66" s="142">
        <v>136.68</v>
      </c>
      <c r="S66" s="142">
        <v>3.5</v>
      </c>
      <c r="T66" s="142" t="s">
        <v>400</v>
      </c>
      <c r="U66" s="142" t="s">
        <v>451</v>
      </c>
    </row>
    <row r="67" spans="1:21" ht="78.75">
      <c r="A67" s="93">
        <v>15</v>
      </c>
      <c r="B67" s="103" t="s">
        <v>445</v>
      </c>
      <c r="C67" s="93" t="s">
        <v>12</v>
      </c>
      <c r="D67" s="66" t="s">
        <v>752</v>
      </c>
      <c r="E67" s="43" t="s">
        <v>753</v>
      </c>
      <c r="F67" s="43" t="s">
        <v>135</v>
      </c>
      <c r="G67" s="43" t="s">
        <v>492</v>
      </c>
      <c r="H67" s="43" t="s">
        <v>12</v>
      </c>
      <c r="I67" s="142" t="s">
        <v>650</v>
      </c>
      <c r="J67" s="67">
        <v>5.966</v>
      </c>
      <c r="K67" s="142">
        <v>265.38</v>
      </c>
      <c r="L67" s="142" t="s">
        <v>754</v>
      </c>
      <c r="M67" s="142" t="s">
        <v>755</v>
      </c>
      <c r="N67" s="142"/>
      <c r="O67" s="93"/>
      <c r="P67" s="93"/>
      <c r="Q67" s="142">
        <v>262.97</v>
      </c>
      <c r="R67" s="142">
        <v>51.62</v>
      </c>
      <c r="S67" s="142"/>
      <c r="T67" s="142" t="s">
        <v>400</v>
      </c>
      <c r="U67" s="142" t="s">
        <v>451</v>
      </c>
    </row>
    <row r="68" spans="1:21" ht="78.75">
      <c r="A68" s="93">
        <v>12</v>
      </c>
      <c r="B68" s="103" t="s">
        <v>445</v>
      </c>
      <c r="C68" s="93" t="s">
        <v>12</v>
      </c>
      <c r="D68" s="66" t="s">
        <v>756</v>
      </c>
      <c r="E68" s="43" t="s">
        <v>757</v>
      </c>
      <c r="F68" s="43" t="s">
        <v>135</v>
      </c>
      <c r="G68" s="43" t="s">
        <v>12</v>
      </c>
      <c r="H68" s="43" t="s">
        <v>12</v>
      </c>
      <c r="I68" s="142" t="s">
        <v>650</v>
      </c>
      <c r="J68" s="67">
        <v>2.256</v>
      </c>
      <c r="K68" s="142">
        <v>101.02</v>
      </c>
      <c r="L68" s="142" t="s">
        <v>758</v>
      </c>
      <c r="M68" s="142" t="s">
        <v>759</v>
      </c>
      <c r="N68" s="142"/>
      <c r="O68" s="93"/>
      <c r="P68" s="93"/>
      <c r="Q68" s="142">
        <v>100.1</v>
      </c>
      <c r="R68" s="142">
        <v>52.11</v>
      </c>
      <c r="S68" s="142">
        <v>1</v>
      </c>
      <c r="T68" s="142" t="s">
        <v>400</v>
      </c>
      <c r="U68" s="142" t="s">
        <v>451</v>
      </c>
    </row>
    <row r="69" spans="1:21" ht="92.25">
      <c r="A69" s="93">
        <v>13</v>
      </c>
      <c r="B69" s="103" t="s">
        <v>445</v>
      </c>
      <c r="C69" s="93" t="s">
        <v>12</v>
      </c>
      <c r="D69" s="66" t="s">
        <v>760</v>
      </c>
      <c r="E69" s="43" t="s">
        <v>761</v>
      </c>
      <c r="F69" s="43" t="s">
        <v>138</v>
      </c>
      <c r="G69" s="43" t="s">
        <v>12</v>
      </c>
      <c r="H69" s="43" t="s">
        <v>12</v>
      </c>
      <c r="I69" s="142"/>
      <c r="J69" s="67">
        <v>5</v>
      </c>
      <c r="K69" s="142">
        <v>143.15</v>
      </c>
      <c r="L69" s="142" t="s">
        <v>762</v>
      </c>
      <c r="M69" s="142" t="s">
        <v>763</v>
      </c>
      <c r="N69" s="142"/>
      <c r="O69" s="93"/>
      <c r="P69" s="93"/>
      <c r="Q69" s="142">
        <v>163.98</v>
      </c>
      <c r="R69" s="142">
        <v>46.78</v>
      </c>
      <c r="S69" s="142"/>
      <c r="T69" s="142" t="s">
        <v>400</v>
      </c>
      <c r="U69" s="142" t="s">
        <v>451</v>
      </c>
    </row>
    <row r="70" spans="1:21" ht="78.75">
      <c r="A70" s="93">
        <v>14</v>
      </c>
      <c r="B70" s="103" t="s">
        <v>445</v>
      </c>
      <c r="C70" s="93" t="s">
        <v>12</v>
      </c>
      <c r="D70" s="66" t="s">
        <v>764</v>
      </c>
      <c r="E70" s="43" t="s">
        <v>765</v>
      </c>
      <c r="F70" s="43" t="s">
        <v>138</v>
      </c>
      <c r="G70" s="43" t="s">
        <v>12</v>
      </c>
      <c r="H70" s="43" t="s">
        <v>12</v>
      </c>
      <c r="I70" s="142"/>
      <c r="J70" s="67">
        <v>21</v>
      </c>
      <c r="K70" s="142">
        <v>584.35</v>
      </c>
      <c r="L70" s="142" t="s">
        <v>766</v>
      </c>
      <c r="M70" s="142" t="s">
        <v>767</v>
      </c>
      <c r="N70" s="142"/>
      <c r="O70" s="93"/>
      <c r="P70" s="93"/>
      <c r="Q70" s="142"/>
      <c r="R70" s="142">
        <v>9.58</v>
      </c>
      <c r="S70" s="142"/>
      <c r="T70" s="63" t="s">
        <v>400</v>
      </c>
      <c r="U70" s="142" t="s">
        <v>451</v>
      </c>
    </row>
    <row r="71" spans="1:21" ht="92.25">
      <c r="A71" s="93">
        <v>16</v>
      </c>
      <c r="B71" s="103" t="s">
        <v>445</v>
      </c>
      <c r="C71" s="93" t="s">
        <v>12</v>
      </c>
      <c r="D71" s="66" t="s">
        <v>768</v>
      </c>
      <c r="E71" s="43" t="s">
        <v>769</v>
      </c>
      <c r="F71" s="43" t="s">
        <v>138</v>
      </c>
      <c r="G71" s="43" t="s">
        <v>492</v>
      </c>
      <c r="H71" s="43" t="s">
        <v>12</v>
      </c>
      <c r="I71" s="142"/>
      <c r="J71" s="67">
        <v>62.5</v>
      </c>
      <c r="K71" s="142">
        <v>2062.1</v>
      </c>
      <c r="L71" s="142" t="s">
        <v>770</v>
      </c>
      <c r="M71" s="142" t="s">
        <v>771</v>
      </c>
      <c r="N71" s="142"/>
      <c r="O71" s="93"/>
      <c r="P71" s="93"/>
      <c r="Q71" s="142">
        <v>2328.7</v>
      </c>
      <c r="R71" s="142">
        <v>254.52</v>
      </c>
      <c r="S71" s="142"/>
      <c r="T71" s="142" t="s">
        <v>400</v>
      </c>
      <c r="U71" s="142" t="s">
        <v>451</v>
      </c>
    </row>
    <row r="72" spans="1:21" ht="78.75">
      <c r="A72" s="93">
        <v>15</v>
      </c>
      <c r="B72" s="103" t="s">
        <v>445</v>
      </c>
      <c r="C72" s="93" t="s">
        <v>12</v>
      </c>
      <c r="D72" s="66" t="s">
        <v>772</v>
      </c>
      <c r="E72" s="43" t="s">
        <v>773</v>
      </c>
      <c r="F72" s="43" t="s">
        <v>135</v>
      </c>
      <c r="G72" s="43" t="s">
        <v>12</v>
      </c>
      <c r="H72" s="43" t="s">
        <v>12</v>
      </c>
      <c r="I72" s="142" t="s">
        <v>750</v>
      </c>
      <c r="J72" s="67">
        <v>10.411</v>
      </c>
      <c r="K72" s="142">
        <v>457.46</v>
      </c>
      <c r="L72" s="142" t="s">
        <v>754</v>
      </c>
      <c r="M72" s="142" t="s">
        <v>774</v>
      </c>
      <c r="N72" s="142"/>
      <c r="O72" s="93"/>
      <c r="P72" s="93"/>
      <c r="Q72" s="142">
        <v>359.41</v>
      </c>
      <c r="R72" s="142">
        <v>66.75</v>
      </c>
      <c r="S72" s="142"/>
      <c r="T72" s="142" t="s">
        <v>400</v>
      </c>
      <c r="U72" s="142" t="s">
        <v>451</v>
      </c>
    </row>
    <row r="73" spans="1:21" ht="78.75">
      <c r="A73" s="93">
        <v>1</v>
      </c>
      <c r="B73" s="103" t="s">
        <v>445</v>
      </c>
      <c r="C73" s="93" t="s">
        <v>12</v>
      </c>
      <c r="D73" s="66" t="s">
        <v>775</v>
      </c>
      <c r="E73" s="43" t="s">
        <v>776</v>
      </c>
      <c r="F73" s="43" t="s">
        <v>135</v>
      </c>
      <c r="G73" s="43" t="s">
        <v>12</v>
      </c>
      <c r="H73" s="43" t="s">
        <v>12</v>
      </c>
      <c r="I73" s="142"/>
      <c r="J73" s="67">
        <v>6.931</v>
      </c>
      <c r="K73" s="142">
        <v>330.21</v>
      </c>
      <c r="L73" s="142"/>
      <c r="M73" s="142"/>
      <c r="N73" s="142"/>
      <c r="O73" s="93"/>
      <c r="P73" s="93"/>
      <c r="Q73" s="142"/>
      <c r="R73" s="142">
        <v>3.16</v>
      </c>
      <c r="S73" s="142"/>
      <c r="T73" s="142" t="s">
        <v>777</v>
      </c>
      <c r="U73" s="142" t="s">
        <v>778</v>
      </c>
    </row>
    <row r="74" spans="1:21" ht="78.75">
      <c r="A74" s="93">
        <v>17</v>
      </c>
      <c r="B74" s="103" t="s">
        <v>445</v>
      </c>
      <c r="C74" s="93" t="s">
        <v>12</v>
      </c>
      <c r="D74" s="66" t="s">
        <v>779</v>
      </c>
      <c r="E74" s="43" t="s">
        <v>780</v>
      </c>
      <c r="F74" s="43" t="s">
        <v>138</v>
      </c>
      <c r="G74" s="43" t="s">
        <v>492</v>
      </c>
      <c r="H74" s="43" t="s">
        <v>492</v>
      </c>
      <c r="I74" s="142"/>
      <c r="J74" s="67">
        <v>22.64</v>
      </c>
      <c r="K74" s="142">
        <v>1313.23</v>
      </c>
      <c r="L74" s="142" t="s">
        <v>781</v>
      </c>
      <c r="M74" s="142" t="s">
        <v>782</v>
      </c>
      <c r="N74" s="142"/>
      <c r="O74" s="93"/>
      <c r="P74" s="93"/>
      <c r="Q74" s="142"/>
      <c r="R74" s="142">
        <v>278.21</v>
      </c>
      <c r="S74" s="142"/>
      <c r="T74" s="142" t="s">
        <v>400</v>
      </c>
      <c r="U74" s="142" t="s">
        <v>451</v>
      </c>
    </row>
    <row r="75" spans="1:21" ht="66">
      <c r="A75" s="93">
        <v>16</v>
      </c>
      <c r="B75" s="103" t="s">
        <v>462</v>
      </c>
      <c r="C75" s="93" t="s">
        <v>12</v>
      </c>
      <c r="D75" s="66" t="s">
        <v>783</v>
      </c>
      <c r="E75" s="43" t="s">
        <v>784</v>
      </c>
      <c r="F75" s="43" t="s">
        <v>159</v>
      </c>
      <c r="G75" s="43" t="s">
        <v>12</v>
      </c>
      <c r="H75" s="43" t="s">
        <v>12</v>
      </c>
      <c r="I75" s="142" t="s">
        <v>785</v>
      </c>
      <c r="J75" s="67">
        <v>9.375</v>
      </c>
      <c r="K75" s="142">
        <v>423.76</v>
      </c>
      <c r="L75" s="142" t="s">
        <v>481</v>
      </c>
      <c r="M75" s="142" t="s">
        <v>786</v>
      </c>
      <c r="N75" s="68"/>
      <c r="O75" s="93"/>
      <c r="P75" s="93"/>
      <c r="Q75" s="142">
        <v>456.37</v>
      </c>
      <c r="R75" s="142">
        <v>244.53</v>
      </c>
      <c r="S75" s="142"/>
      <c r="T75" s="142" t="s">
        <v>400</v>
      </c>
      <c r="U75" s="142" t="s">
        <v>451</v>
      </c>
    </row>
    <row r="76" spans="1:21" ht="78.75">
      <c r="A76" s="93">
        <v>18</v>
      </c>
      <c r="B76" s="103" t="s">
        <v>462</v>
      </c>
      <c r="C76" s="93" t="s">
        <v>12</v>
      </c>
      <c r="D76" s="66" t="s">
        <v>787</v>
      </c>
      <c r="E76" s="43" t="s">
        <v>788</v>
      </c>
      <c r="F76" s="43" t="s">
        <v>159</v>
      </c>
      <c r="G76" s="43" t="s">
        <v>492</v>
      </c>
      <c r="H76" s="43" t="s">
        <v>492</v>
      </c>
      <c r="I76" s="93"/>
      <c r="J76" s="67">
        <v>14.92</v>
      </c>
      <c r="K76" s="142">
        <v>635.06</v>
      </c>
      <c r="L76" s="141"/>
      <c r="M76" s="141"/>
      <c r="N76" s="141"/>
      <c r="O76" s="93"/>
      <c r="P76" s="93"/>
      <c r="Q76" s="142">
        <v>828.57</v>
      </c>
      <c r="R76" s="142"/>
      <c r="S76" s="142"/>
      <c r="T76" s="142" t="s">
        <v>400</v>
      </c>
      <c r="U76" s="142" t="s">
        <v>451</v>
      </c>
    </row>
    <row r="77" spans="1:21" ht="41.25">
      <c r="A77" s="93">
        <v>1</v>
      </c>
      <c r="B77" s="103" t="s">
        <v>221</v>
      </c>
      <c r="C77" s="93" t="s">
        <v>14</v>
      </c>
      <c r="D77" s="36" t="s">
        <v>874</v>
      </c>
      <c r="E77" s="113" t="s">
        <v>805</v>
      </c>
      <c r="F77" s="103" t="s">
        <v>135</v>
      </c>
      <c r="G77" s="52" t="s">
        <v>791</v>
      </c>
      <c r="H77" s="52" t="s">
        <v>792</v>
      </c>
      <c r="I77" s="103" t="s">
        <v>875</v>
      </c>
      <c r="J77" s="104">
        <v>16.5</v>
      </c>
      <c r="K77" s="104">
        <v>366.27</v>
      </c>
      <c r="L77" s="104" t="s">
        <v>876</v>
      </c>
      <c r="M77" s="104" t="s">
        <v>877</v>
      </c>
      <c r="N77" s="104" t="s">
        <v>141</v>
      </c>
      <c r="O77" s="104">
        <v>388.76</v>
      </c>
      <c r="P77" s="104"/>
      <c r="Q77" s="104">
        <f>SUM(O77:P77)</f>
        <v>388.76</v>
      </c>
      <c r="R77" s="104">
        <v>301.64</v>
      </c>
      <c r="S77" s="104">
        <v>13</v>
      </c>
      <c r="T77" s="105" t="s">
        <v>284</v>
      </c>
      <c r="U77" s="106" t="s">
        <v>143</v>
      </c>
    </row>
    <row r="78" spans="1:21" ht="41.25">
      <c r="A78" s="93">
        <v>2</v>
      </c>
      <c r="B78" s="103" t="s">
        <v>244</v>
      </c>
      <c r="C78" s="93" t="s">
        <v>14</v>
      </c>
      <c r="D78" s="36" t="s">
        <v>886</v>
      </c>
      <c r="E78" s="113" t="s">
        <v>790</v>
      </c>
      <c r="F78" s="103" t="s">
        <v>135</v>
      </c>
      <c r="G78" s="53" t="s">
        <v>791</v>
      </c>
      <c r="H78" s="53" t="s">
        <v>792</v>
      </c>
      <c r="I78" s="107" t="s">
        <v>887</v>
      </c>
      <c r="J78" s="104">
        <v>13.93</v>
      </c>
      <c r="K78" s="104">
        <v>321</v>
      </c>
      <c r="L78" s="104" t="s">
        <v>888</v>
      </c>
      <c r="M78" s="104" t="s">
        <v>889</v>
      </c>
      <c r="N78" s="104"/>
      <c r="O78" s="104">
        <v>268.46</v>
      </c>
      <c r="P78" s="104"/>
      <c r="Q78" s="104">
        <f>SUM(O78:P78)</f>
        <v>268.46</v>
      </c>
      <c r="R78" s="104">
        <v>254.5</v>
      </c>
      <c r="S78" s="104">
        <v>13.93</v>
      </c>
      <c r="T78" s="106" t="s">
        <v>284</v>
      </c>
      <c r="U78" s="105" t="s">
        <v>143</v>
      </c>
    </row>
    <row r="79" spans="1:21" ht="41.25">
      <c r="A79" s="93">
        <v>3</v>
      </c>
      <c r="B79" s="103" t="s">
        <v>244</v>
      </c>
      <c r="C79" s="93" t="s">
        <v>14</v>
      </c>
      <c r="D79" s="36" t="s">
        <v>905</v>
      </c>
      <c r="E79" s="113" t="s">
        <v>860</v>
      </c>
      <c r="F79" s="103" t="s">
        <v>135</v>
      </c>
      <c r="G79" s="53" t="s">
        <v>791</v>
      </c>
      <c r="H79" s="53" t="s">
        <v>792</v>
      </c>
      <c r="I79" s="107" t="s">
        <v>906</v>
      </c>
      <c r="J79" s="104">
        <v>10.53</v>
      </c>
      <c r="K79" s="104">
        <v>345.01</v>
      </c>
      <c r="L79" s="104" t="s">
        <v>907</v>
      </c>
      <c r="M79" s="104" t="s">
        <v>908</v>
      </c>
      <c r="N79" s="104"/>
      <c r="O79" s="104">
        <v>274.33</v>
      </c>
      <c r="P79" s="104"/>
      <c r="Q79" s="104">
        <f>SUM(O79:P79)</f>
        <v>274.33</v>
      </c>
      <c r="R79" s="104">
        <v>129.07</v>
      </c>
      <c r="S79" s="104">
        <v>8</v>
      </c>
      <c r="T79" s="106" t="s">
        <v>284</v>
      </c>
      <c r="U79" s="105" t="s">
        <v>143</v>
      </c>
    </row>
    <row r="80" spans="1:21" ht="41.25">
      <c r="A80" s="93">
        <v>1</v>
      </c>
      <c r="B80" s="103" t="s">
        <v>244</v>
      </c>
      <c r="C80" s="93" t="s">
        <v>14</v>
      </c>
      <c r="D80" s="36" t="s">
        <v>909</v>
      </c>
      <c r="E80" s="113" t="s">
        <v>910</v>
      </c>
      <c r="F80" s="103" t="s">
        <v>135</v>
      </c>
      <c r="G80" s="53" t="s">
        <v>800</v>
      </c>
      <c r="H80" s="53" t="s">
        <v>807</v>
      </c>
      <c r="I80" s="107"/>
      <c r="J80" s="104">
        <v>6</v>
      </c>
      <c r="K80" s="104">
        <v>151</v>
      </c>
      <c r="L80" s="104" t="s">
        <v>911</v>
      </c>
      <c r="M80" s="104" t="s">
        <v>912</v>
      </c>
      <c r="N80" s="104"/>
      <c r="O80" s="104"/>
      <c r="P80" s="104"/>
      <c r="Q80" s="104"/>
      <c r="R80" s="104">
        <v>100.7</v>
      </c>
      <c r="S80" s="104">
        <v>1.5</v>
      </c>
      <c r="T80" s="105" t="s">
        <v>284</v>
      </c>
      <c r="U80" s="105" t="s">
        <v>143</v>
      </c>
    </row>
    <row r="81" spans="1:21" ht="54.75">
      <c r="A81" s="93">
        <v>4</v>
      </c>
      <c r="B81" s="103" t="s">
        <v>244</v>
      </c>
      <c r="C81" s="93" t="s">
        <v>14</v>
      </c>
      <c r="D81" s="36" t="s">
        <v>916</v>
      </c>
      <c r="E81" s="113" t="s">
        <v>917</v>
      </c>
      <c r="F81" s="103" t="s">
        <v>135</v>
      </c>
      <c r="G81" s="53" t="s">
        <v>791</v>
      </c>
      <c r="H81" s="53" t="s">
        <v>792</v>
      </c>
      <c r="I81" s="107" t="s">
        <v>918</v>
      </c>
      <c r="J81" s="104">
        <v>32.43</v>
      </c>
      <c r="K81" s="104">
        <v>1120.33</v>
      </c>
      <c r="L81" s="108" t="s">
        <v>919</v>
      </c>
      <c r="M81" s="108" t="s">
        <v>920</v>
      </c>
      <c r="N81" s="108"/>
      <c r="O81" s="104">
        <v>1107.23</v>
      </c>
      <c r="P81" s="104"/>
      <c r="Q81" s="104">
        <f>SUM(O81:P81)</f>
        <v>1107.23</v>
      </c>
      <c r="R81" s="108">
        <v>385.52</v>
      </c>
      <c r="S81" s="104">
        <v>12.12</v>
      </c>
      <c r="T81" s="105" t="s">
        <v>284</v>
      </c>
      <c r="U81" s="105" t="s">
        <v>143</v>
      </c>
    </row>
    <row r="82" spans="1:21" ht="46.5">
      <c r="A82" s="93">
        <v>2</v>
      </c>
      <c r="B82" s="103" t="s">
        <v>279</v>
      </c>
      <c r="C82" s="93" t="s">
        <v>14</v>
      </c>
      <c r="D82" s="37" t="s">
        <v>925</v>
      </c>
      <c r="E82" s="113" t="s">
        <v>790</v>
      </c>
      <c r="F82" s="103" t="s">
        <v>135</v>
      </c>
      <c r="G82" s="53" t="s">
        <v>800</v>
      </c>
      <c r="H82" s="103" t="s">
        <v>807</v>
      </c>
      <c r="I82" s="103" t="s">
        <v>831</v>
      </c>
      <c r="J82" s="116">
        <v>11</v>
      </c>
      <c r="K82" s="104">
        <v>339.25</v>
      </c>
      <c r="L82" s="103" t="s">
        <v>926</v>
      </c>
      <c r="M82" s="103" t="s">
        <v>927</v>
      </c>
      <c r="N82" s="103"/>
      <c r="O82" s="104">
        <v>302.41</v>
      </c>
      <c r="P82" s="104"/>
      <c r="Q82" s="104">
        <f>SUM(O82:P82)</f>
        <v>302.41</v>
      </c>
      <c r="R82" s="104">
        <f>39.21+260.85</f>
        <v>300.06</v>
      </c>
      <c r="S82" s="104">
        <v>10.77</v>
      </c>
      <c r="T82" s="105" t="s">
        <v>284</v>
      </c>
      <c r="U82" s="105" t="s">
        <v>143</v>
      </c>
    </row>
    <row r="83" spans="1:21" ht="62.25">
      <c r="A83" s="93">
        <v>1</v>
      </c>
      <c r="B83" s="103" t="s">
        <v>279</v>
      </c>
      <c r="C83" s="93" t="s">
        <v>14</v>
      </c>
      <c r="D83" s="37" t="s">
        <v>936</v>
      </c>
      <c r="E83" s="113" t="s">
        <v>805</v>
      </c>
      <c r="F83" s="103" t="s">
        <v>135</v>
      </c>
      <c r="G83" s="103" t="s">
        <v>806</v>
      </c>
      <c r="H83" s="103" t="s">
        <v>807</v>
      </c>
      <c r="I83" s="103"/>
      <c r="J83" s="116">
        <v>7.25</v>
      </c>
      <c r="K83" s="104">
        <v>253.44</v>
      </c>
      <c r="L83" s="103" t="s">
        <v>316</v>
      </c>
      <c r="M83" s="103" t="s">
        <v>937</v>
      </c>
      <c r="N83" s="103"/>
      <c r="O83" s="104">
        <v>230.09</v>
      </c>
      <c r="P83" s="104"/>
      <c r="Q83" s="104">
        <f>SUM(O83:P83)</f>
        <v>230.09</v>
      </c>
      <c r="R83" s="104">
        <v>119.47</v>
      </c>
      <c r="S83" s="104">
        <v>6.5</v>
      </c>
      <c r="T83" s="105" t="s">
        <v>284</v>
      </c>
      <c r="U83" s="105" t="s">
        <v>143</v>
      </c>
    </row>
    <row r="84" spans="1:21" ht="62.25">
      <c r="A84" s="93">
        <v>5</v>
      </c>
      <c r="B84" s="103" t="s">
        <v>279</v>
      </c>
      <c r="C84" s="93" t="s">
        <v>14</v>
      </c>
      <c r="D84" s="37" t="s">
        <v>947</v>
      </c>
      <c r="E84" s="113" t="s">
        <v>910</v>
      </c>
      <c r="F84" s="103" t="s">
        <v>135</v>
      </c>
      <c r="G84" s="103" t="s">
        <v>791</v>
      </c>
      <c r="H84" s="103" t="s">
        <v>792</v>
      </c>
      <c r="I84" s="103" t="s">
        <v>281</v>
      </c>
      <c r="J84" s="116">
        <v>31.55</v>
      </c>
      <c r="K84" s="104">
        <v>1282.73</v>
      </c>
      <c r="L84" s="103" t="s">
        <v>948</v>
      </c>
      <c r="M84" s="103" t="s">
        <v>949</v>
      </c>
      <c r="N84" s="103"/>
      <c r="O84" s="104">
        <v>1194.81</v>
      </c>
      <c r="P84" s="104"/>
      <c r="Q84" s="104">
        <f>SUM(O84:P84)</f>
        <v>1194.81</v>
      </c>
      <c r="R84" s="104">
        <v>908.8</v>
      </c>
      <c r="S84" s="104">
        <v>27</v>
      </c>
      <c r="T84" s="105" t="s">
        <v>284</v>
      </c>
      <c r="U84" s="105" t="s">
        <v>143</v>
      </c>
    </row>
    <row r="85" spans="1:21" ht="46.5">
      <c r="A85" s="93">
        <v>3</v>
      </c>
      <c r="B85" s="103" t="s">
        <v>279</v>
      </c>
      <c r="C85" s="93" t="s">
        <v>14</v>
      </c>
      <c r="D85" s="37" t="s">
        <v>961</v>
      </c>
      <c r="E85" s="113" t="s">
        <v>962</v>
      </c>
      <c r="F85" s="103" t="s">
        <v>135</v>
      </c>
      <c r="G85" s="103" t="s">
        <v>800</v>
      </c>
      <c r="H85" s="103" t="s">
        <v>807</v>
      </c>
      <c r="I85" s="103"/>
      <c r="J85" s="116">
        <v>5</v>
      </c>
      <c r="K85" s="104">
        <v>169.58</v>
      </c>
      <c r="L85" s="103" t="s">
        <v>963</v>
      </c>
      <c r="M85" s="103" t="s">
        <v>964</v>
      </c>
      <c r="N85" s="103"/>
      <c r="O85" s="104">
        <v>153.02</v>
      </c>
      <c r="P85" s="104"/>
      <c r="Q85" s="104">
        <f>SUM(O85:P85)</f>
        <v>153.02</v>
      </c>
      <c r="R85" s="104">
        <v>122.46</v>
      </c>
      <c r="S85" s="104">
        <v>4.9</v>
      </c>
      <c r="T85" s="105" t="s">
        <v>284</v>
      </c>
      <c r="U85" s="105" t="s">
        <v>143</v>
      </c>
    </row>
    <row r="86" spans="1:21" ht="78.75">
      <c r="A86" s="93">
        <v>4</v>
      </c>
      <c r="B86" s="103" t="s">
        <v>313</v>
      </c>
      <c r="C86" s="93" t="s">
        <v>14</v>
      </c>
      <c r="D86" s="39" t="s">
        <v>965</v>
      </c>
      <c r="E86" s="97" t="s">
        <v>857</v>
      </c>
      <c r="F86" s="103" t="s">
        <v>159</v>
      </c>
      <c r="G86" s="103" t="s">
        <v>800</v>
      </c>
      <c r="H86" s="103" t="s">
        <v>807</v>
      </c>
      <c r="I86" s="183" t="s">
        <v>311</v>
      </c>
      <c r="J86" s="104">
        <v>25</v>
      </c>
      <c r="K86" s="104">
        <v>630.15</v>
      </c>
      <c r="L86" s="104" t="s">
        <v>934</v>
      </c>
      <c r="M86" s="104" t="s">
        <v>966</v>
      </c>
      <c r="N86" s="104"/>
      <c r="O86" s="104">
        <v>511.04</v>
      </c>
      <c r="P86" s="104"/>
      <c r="Q86" s="104">
        <f>SUM(O86:P86)</f>
        <v>511.04</v>
      </c>
      <c r="R86" s="104">
        <v>658.54</v>
      </c>
      <c r="S86" s="104">
        <v>24.27</v>
      </c>
      <c r="T86" s="56" t="s">
        <v>284</v>
      </c>
      <c r="U86" s="56" t="s">
        <v>261</v>
      </c>
    </row>
    <row r="87" spans="1:21" ht="118.5">
      <c r="A87" s="93">
        <v>5</v>
      </c>
      <c r="B87" s="103" t="s">
        <v>313</v>
      </c>
      <c r="C87" s="93" t="s">
        <v>14</v>
      </c>
      <c r="D87" s="69" t="s">
        <v>967</v>
      </c>
      <c r="E87" s="97" t="s">
        <v>957</v>
      </c>
      <c r="F87" s="103" t="s">
        <v>175</v>
      </c>
      <c r="G87" s="126" t="s">
        <v>800</v>
      </c>
      <c r="H87" s="103" t="s">
        <v>807</v>
      </c>
      <c r="I87" s="183"/>
      <c r="J87" s="59" t="s">
        <v>141</v>
      </c>
      <c r="K87" s="104">
        <v>148.47</v>
      </c>
      <c r="L87" s="104" t="s">
        <v>934</v>
      </c>
      <c r="M87" s="104" t="s">
        <v>966</v>
      </c>
      <c r="N87" s="104"/>
      <c r="O87" s="104">
        <v>146.79</v>
      </c>
      <c r="P87" s="104"/>
      <c r="Q87" s="104">
        <f>SUM(O87:P87)</f>
        <v>146.79</v>
      </c>
      <c r="R87" s="104"/>
      <c r="S87" s="104"/>
      <c r="T87" s="56" t="s">
        <v>284</v>
      </c>
      <c r="U87" s="56" t="s">
        <v>261</v>
      </c>
    </row>
    <row r="88" spans="1:21" ht="118.5">
      <c r="A88" s="93">
        <v>6</v>
      </c>
      <c r="B88" s="103" t="s">
        <v>313</v>
      </c>
      <c r="C88" s="93" t="s">
        <v>14</v>
      </c>
      <c r="D88" s="39" t="s">
        <v>971</v>
      </c>
      <c r="E88" s="97" t="s">
        <v>910</v>
      </c>
      <c r="F88" s="103" t="s">
        <v>175</v>
      </c>
      <c r="G88" s="103" t="s">
        <v>800</v>
      </c>
      <c r="H88" s="103" t="s">
        <v>807</v>
      </c>
      <c r="I88" s="103" t="s">
        <v>972</v>
      </c>
      <c r="J88" s="59" t="s">
        <v>141</v>
      </c>
      <c r="K88" s="104">
        <v>161.57</v>
      </c>
      <c r="L88" s="104" t="s">
        <v>973</v>
      </c>
      <c r="M88" s="104" t="s">
        <v>974</v>
      </c>
      <c r="N88" s="104"/>
      <c r="O88" s="104">
        <v>130.75</v>
      </c>
      <c r="P88" s="104"/>
      <c r="Q88" s="104">
        <f aca="true" t="shared" si="0" ref="Q88:Q93">SUM(O88:P88)</f>
        <v>130.75</v>
      </c>
      <c r="R88" s="104">
        <v>109.44</v>
      </c>
      <c r="S88" s="104"/>
      <c r="T88" s="56" t="s">
        <v>284</v>
      </c>
      <c r="U88" s="56" t="s">
        <v>143</v>
      </c>
    </row>
    <row r="89" spans="1:21" ht="118.5">
      <c r="A89" s="93">
        <v>7</v>
      </c>
      <c r="B89" s="103" t="s">
        <v>313</v>
      </c>
      <c r="C89" s="93" t="s">
        <v>14</v>
      </c>
      <c r="D89" s="39" t="s">
        <v>975</v>
      </c>
      <c r="E89" s="97" t="s">
        <v>914</v>
      </c>
      <c r="F89" s="103" t="s">
        <v>175</v>
      </c>
      <c r="G89" s="103" t="s">
        <v>800</v>
      </c>
      <c r="H89" s="103" t="s">
        <v>807</v>
      </c>
      <c r="I89" s="103" t="s">
        <v>969</v>
      </c>
      <c r="J89" s="59" t="s">
        <v>141</v>
      </c>
      <c r="K89" s="104">
        <v>96.91</v>
      </c>
      <c r="L89" s="104" t="s">
        <v>959</v>
      </c>
      <c r="M89" s="104" t="s">
        <v>960</v>
      </c>
      <c r="N89" s="104"/>
      <c r="O89" s="104">
        <v>96.91</v>
      </c>
      <c r="P89" s="104"/>
      <c r="Q89" s="104">
        <f t="shared" si="0"/>
        <v>96.91</v>
      </c>
      <c r="R89" s="104">
        <v>46.29</v>
      </c>
      <c r="S89" s="104"/>
      <c r="T89" s="56" t="s">
        <v>284</v>
      </c>
      <c r="U89" s="56" t="s">
        <v>976</v>
      </c>
    </row>
    <row r="90" spans="1:21" ht="132">
      <c r="A90" s="93">
        <v>8</v>
      </c>
      <c r="B90" s="103" t="s">
        <v>313</v>
      </c>
      <c r="C90" s="93" t="s">
        <v>14</v>
      </c>
      <c r="D90" s="39" t="s">
        <v>977</v>
      </c>
      <c r="E90" s="97" t="s">
        <v>917</v>
      </c>
      <c r="F90" s="103" t="s">
        <v>175</v>
      </c>
      <c r="G90" s="103" t="s">
        <v>800</v>
      </c>
      <c r="H90" s="104" t="s">
        <v>801</v>
      </c>
      <c r="I90" s="103" t="s">
        <v>642</v>
      </c>
      <c r="J90" s="59" t="s">
        <v>141</v>
      </c>
      <c r="K90" s="104">
        <v>86.22</v>
      </c>
      <c r="L90" s="104" t="s">
        <v>978</v>
      </c>
      <c r="M90" s="104" t="s">
        <v>979</v>
      </c>
      <c r="N90" s="104"/>
      <c r="O90" s="104">
        <v>69.18</v>
      </c>
      <c r="P90" s="104"/>
      <c r="Q90" s="104">
        <f t="shared" si="0"/>
        <v>69.18</v>
      </c>
      <c r="R90" s="104">
        <f>42.57+8.61</f>
        <v>51.18</v>
      </c>
      <c r="S90" s="104"/>
      <c r="T90" s="56" t="s">
        <v>284</v>
      </c>
      <c r="U90" s="56" t="s">
        <v>261</v>
      </c>
    </row>
    <row r="91" spans="1:21" ht="118.5">
      <c r="A91" s="93">
        <v>9</v>
      </c>
      <c r="B91" s="103" t="s">
        <v>313</v>
      </c>
      <c r="C91" s="93" t="s">
        <v>14</v>
      </c>
      <c r="D91" s="69" t="s">
        <v>980</v>
      </c>
      <c r="E91" s="97" t="s">
        <v>922</v>
      </c>
      <c r="F91" s="103" t="s">
        <v>175</v>
      </c>
      <c r="G91" s="126" t="s">
        <v>800</v>
      </c>
      <c r="H91" s="104" t="s">
        <v>801</v>
      </c>
      <c r="I91" s="126" t="s">
        <v>642</v>
      </c>
      <c r="J91" s="59" t="s">
        <v>141</v>
      </c>
      <c r="K91" s="104">
        <v>109.5</v>
      </c>
      <c r="L91" s="104" t="s">
        <v>978</v>
      </c>
      <c r="M91" s="104" t="s">
        <v>979</v>
      </c>
      <c r="N91" s="104"/>
      <c r="O91" s="104">
        <v>99.12</v>
      </c>
      <c r="P91" s="104"/>
      <c r="Q91" s="104">
        <f t="shared" si="0"/>
        <v>99.12</v>
      </c>
      <c r="R91" s="104">
        <v>69.73</v>
      </c>
      <c r="S91" s="104"/>
      <c r="T91" s="56" t="s">
        <v>284</v>
      </c>
      <c r="U91" s="56" t="s">
        <v>261</v>
      </c>
    </row>
    <row r="92" spans="1:21" ht="118.5" customHeight="1">
      <c r="A92" s="93">
        <v>10</v>
      </c>
      <c r="B92" s="103" t="s">
        <v>313</v>
      </c>
      <c r="C92" s="93" t="s">
        <v>14</v>
      </c>
      <c r="D92" s="69" t="s">
        <v>983</v>
      </c>
      <c r="E92" s="97" t="s">
        <v>984</v>
      </c>
      <c r="F92" s="103" t="s">
        <v>175</v>
      </c>
      <c r="G92" s="103" t="s">
        <v>800</v>
      </c>
      <c r="H92" s="103" t="s">
        <v>807</v>
      </c>
      <c r="I92" s="126"/>
      <c r="J92" s="59" t="s">
        <v>141</v>
      </c>
      <c r="K92" s="104">
        <v>111.97</v>
      </c>
      <c r="L92" s="104" t="s">
        <v>934</v>
      </c>
      <c r="M92" s="104" t="s">
        <v>935</v>
      </c>
      <c r="N92" s="104"/>
      <c r="O92" s="104">
        <v>106.54</v>
      </c>
      <c r="P92" s="104"/>
      <c r="Q92" s="104">
        <f t="shared" si="0"/>
        <v>106.54</v>
      </c>
      <c r="R92" s="104"/>
      <c r="S92" s="104"/>
      <c r="T92" s="56" t="s">
        <v>284</v>
      </c>
      <c r="U92" s="56" t="s">
        <v>261</v>
      </c>
    </row>
    <row r="93" spans="1:21" ht="171">
      <c r="A93" s="97" t="s">
        <v>1000</v>
      </c>
      <c r="B93" s="103" t="s">
        <v>313</v>
      </c>
      <c r="C93" s="93" t="s">
        <v>14</v>
      </c>
      <c r="D93" s="69" t="s">
        <v>1001</v>
      </c>
      <c r="E93" s="97" t="s">
        <v>1002</v>
      </c>
      <c r="F93" s="103" t="s">
        <v>175</v>
      </c>
      <c r="G93" s="126" t="s">
        <v>791</v>
      </c>
      <c r="H93" s="126" t="s">
        <v>792</v>
      </c>
      <c r="I93" s="126" t="s">
        <v>1003</v>
      </c>
      <c r="J93" s="59" t="s">
        <v>141</v>
      </c>
      <c r="K93" s="104">
        <v>229.03</v>
      </c>
      <c r="L93" s="104" t="s">
        <v>987</v>
      </c>
      <c r="M93" s="104" t="s">
        <v>988</v>
      </c>
      <c r="N93" s="104"/>
      <c r="O93" s="104">
        <v>210.39</v>
      </c>
      <c r="P93" s="104"/>
      <c r="Q93" s="104">
        <f t="shared" si="0"/>
        <v>210.39</v>
      </c>
      <c r="R93" s="104">
        <v>126.41</v>
      </c>
      <c r="S93" s="104"/>
      <c r="T93" s="56" t="s">
        <v>284</v>
      </c>
      <c r="U93" s="56" t="s">
        <v>261</v>
      </c>
    </row>
    <row r="94" spans="1:21" ht="144.75" customHeight="1">
      <c r="A94" s="93">
        <v>8</v>
      </c>
      <c r="B94" s="103" t="s">
        <v>389</v>
      </c>
      <c r="C94" s="93" t="s">
        <v>14</v>
      </c>
      <c r="D94" s="118" t="s">
        <v>1014</v>
      </c>
      <c r="E94" s="128"/>
      <c r="F94" s="128" t="s">
        <v>175</v>
      </c>
      <c r="G94" s="128" t="s">
        <v>791</v>
      </c>
      <c r="H94" s="128" t="s">
        <v>792</v>
      </c>
      <c r="I94" s="128" t="s">
        <v>1012</v>
      </c>
      <c r="J94" s="158" t="s">
        <v>141</v>
      </c>
      <c r="K94" s="158">
        <v>111.43</v>
      </c>
      <c r="L94" s="121" t="s">
        <v>1006</v>
      </c>
      <c r="M94" s="121" t="s">
        <v>1007</v>
      </c>
      <c r="N94" s="158"/>
      <c r="O94" s="158"/>
      <c r="P94" s="158"/>
      <c r="Q94" s="158"/>
      <c r="R94" s="158">
        <v>56.26</v>
      </c>
      <c r="S94" s="158"/>
      <c r="T94" s="122" t="s">
        <v>284</v>
      </c>
      <c r="U94" s="122" t="s">
        <v>261</v>
      </c>
    </row>
    <row r="95" spans="1:21" ht="132">
      <c r="A95" s="93">
        <v>9</v>
      </c>
      <c r="B95" s="103" t="s">
        <v>389</v>
      </c>
      <c r="C95" s="93" t="s">
        <v>14</v>
      </c>
      <c r="D95" s="118" t="s">
        <v>1016</v>
      </c>
      <c r="E95" s="228" t="s">
        <v>857</v>
      </c>
      <c r="F95" s="128" t="s">
        <v>175</v>
      </c>
      <c r="G95" s="128" t="s">
        <v>791</v>
      </c>
      <c r="H95" s="128" t="s">
        <v>792</v>
      </c>
      <c r="I95" s="228" t="s">
        <v>1017</v>
      </c>
      <c r="J95" s="158" t="s">
        <v>141</v>
      </c>
      <c r="K95" s="158">
        <v>101.93</v>
      </c>
      <c r="L95" s="229" t="s">
        <v>1018</v>
      </c>
      <c r="M95" s="229" t="s">
        <v>1019</v>
      </c>
      <c r="N95" s="231"/>
      <c r="O95" s="158">
        <v>249.99</v>
      </c>
      <c r="P95" s="158"/>
      <c r="Q95" s="158">
        <v>249.99</v>
      </c>
      <c r="R95" s="158">
        <f>105.84</f>
        <v>105.84</v>
      </c>
      <c r="S95" s="158"/>
      <c r="T95" s="122" t="s">
        <v>284</v>
      </c>
      <c r="U95" s="122" t="s">
        <v>261</v>
      </c>
    </row>
    <row r="96" spans="1:21" ht="132">
      <c r="A96" s="93">
        <v>10</v>
      </c>
      <c r="B96" s="103" t="s">
        <v>389</v>
      </c>
      <c r="C96" s="93" t="s">
        <v>14</v>
      </c>
      <c r="D96" s="118" t="s">
        <v>1020</v>
      </c>
      <c r="E96" s="228"/>
      <c r="F96" s="128" t="s">
        <v>175</v>
      </c>
      <c r="G96" s="128" t="s">
        <v>791</v>
      </c>
      <c r="H96" s="128" t="s">
        <v>792</v>
      </c>
      <c r="I96" s="228"/>
      <c r="J96" s="158" t="s">
        <v>141</v>
      </c>
      <c r="K96" s="158">
        <v>101.93</v>
      </c>
      <c r="L96" s="230"/>
      <c r="M96" s="230"/>
      <c r="N96" s="232"/>
      <c r="O96" s="158"/>
      <c r="P96" s="158"/>
      <c r="Q96" s="158"/>
      <c r="R96" s="158">
        <v>11.83</v>
      </c>
      <c r="S96" s="158"/>
      <c r="T96" s="122" t="s">
        <v>284</v>
      </c>
      <c r="U96" s="122" t="s">
        <v>261</v>
      </c>
    </row>
    <row r="97" spans="1:21" ht="132">
      <c r="A97" s="93">
        <v>11</v>
      </c>
      <c r="B97" s="103" t="s">
        <v>389</v>
      </c>
      <c r="C97" s="93" t="s">
        <v>14</v>
      </c>
      <c r="D97" s="118" t="s">
        <v>1021</v>
      </c>
      <c r="E97" s="128" t="s">
        <v>860</v>
      </c>
      <c r="F97" s="128" t="s">
        <v>175</v>
      </c>
      <c r="G97" s="128" t="s">
        <v>791</v>
      </c>
      <c r="H97" s="128" t="s">
        <v>792</v>
      </c>
      <c r="I97" s="228" t="s">
        <v>1022</v>
      </c>
      <c r="J97" s="158" t="s">
        <v>141</v>
      </c>
      <c r="K97" s="158">
        <v>78.15</v>
      </c>
      <c r="L97" s="229" t="s">
        <v>1023</v>
      </c>
      <c r="M97" s="229" t="s">
        <v>1024</v>
      </c>
      <c r="N97" s="231"/>
      <c r="O97" s="158">
        <v>94.26</v>
      </c>
      <c r="P97" s="158"/>
      <c r="Q97" s="158">
        <v>94.26</v>
      </c>
      <c r="R97" s="158">
        <v>91.46</v>
      </c>
      <c r="S97" s="158"/>
      <c r="T97" s="122" t="s">
        <v>284</v>
      </c>
      <c r="U97" s="122" t="s">
        <v>261</v>
      </c>
    </row>
    <row r="98" spans="1:21" ht="132">
      <c r="A98" s="93">
        <v>12</v>
      </c>
      <c r="B98" s="103" t="s">
        <v>389</v>
      </c>
      <c r="C98" s="93" t="s">
        <v>14</v>
      </c>
      <c r="D98" s="118" t="s">
        <v>1025</v>
      </c>
      <c r="E98" s="128" t="s">
        <v>910</v>
      </c>
      <c r="F98" s="128" t="s">
        <v>175</v>
      </c>
      <c r="G98" s="128" t="s">
        <v>791</v>
      </c>
      <c r="H98" s="128" t="s">
        <v>792</v>
      </c>
      <c r="I98" s="228"/>
      <c r="J98" s="158" t="s">
        <v>141</v>
      </c>
      <c r="K98" s="158">
        <v>84.07</v>
      </c>
      <c r="L98" s="230"/>
      <c r="M98" s="230"/>
      <c r="N98" s="230"/>
      <c r="O98" s="158">
        <v>79.52</v>
      </c>
      <c r="P98" s="158"/>
      <c r="Q98" s="158">
        <v>79.52</v>
      </c>
      <c r="R98" s="158">
        <v>13.05</v>
      </c>
      <c r="S98" s="158"/>
      <c r="T98" s="122" t="s">
        <v>284</v>
      </c>
      <c r="U98" s="122" t="s">
        <v>261</v>
      </c>
    </row>
    <row r="99" spans="1:21" ht="171">
      <c r="A99" s="93">
        <v>11</v>
      </c>
      <c r="B99" s="103" t="s">
        <v>389</v>
      </c>
      <c r="C99" s="93" t="s">
        <v>14</v>
      </c>
      <c r="D99" s="118" t="s">
        <v>1026</v>
      </c>
      <c r="E99" s="128" t="s">
        <v>914</v>
      </c>
      <c r="F99" s="128" t="s">
        <v>175</v>
      </c>
      <c r="G99" s="128" t="s">
        <v>800</v>
      </c>
      <c r="H99" s="128" t="s">
        <v>807</v>
      </c>
      <c r="I99" s="128" t="s">
        <v>1027</v>
      </c>
      <c r="J99" s="158" t="s">
        <v>141</v>
      </c>
      <c r="K99" s="158">
        <v>89.62</v>
      </c>
      <c r="L99" s="229" t="s">
        <v>1028</v>
      </c>
      <c r="M99" s="229" t="s">
        <v>1019</v>
      </c>
      <c r="N99" s="231"/>
      <c r="O99" s="158">
        <v>226.54</v>
      </c>
      <c r="P99" s="158"/>
      <c r="Q99" s="158">
        <v>226.54</v>
      </c>
      <c r="R99" s="158">
        <v>130.06</v>
      </c>
      <c r="S99" s="158"/>
      <c r="T99" s="122" t="s">
        <v>284</v>
      </c>
      <c r="U99" s="122" t="s">
        <v>261</v>
      </c>
    </row>
    <row r="100" spans="1:21" ht="171">
      <c r="A100" s="93">
        <v>12</v>
      </c>
      <c r="B100" s="103" t="s">
        <v>389</v>
      </c>
      <c r="C100" s="93" t="s">
        <v>14</v>
      </c>
      <c r="D100" s="118" t="s">
        <v>1029</v>
      </c>
      <c r="E100" s="128" t="s">
        <v>917</v>
      </c>
      <c r="F100" s="128" t="s">
        <v>175</v>
      </c>
      <c r="G100" s="128" t="s">
        <v>800</v>
      </c>
      <c r="H100" s="128" t="s">
        <v>807</v>
      </c>
      <c r="I100" s="128" t="s">
        <v>1027</v>
      </c>
      <c r="J100" s="158" t="s">
        <v>141</v>
      </c>
      <c r="K100" s="158">
        <v>93.34</v>
      </c>
      <c r="L100" s="230"/>
      <c r="M100" s="230"/>
      <c r="N100" s="232"/>
      <c r="O100" s="158"/>
      <c r="P100" s="158"/>
      <c r="Q100" s="158"/>
      <c r="R100" s="158">
        <v>0.09</v>
      </c>
      <c r="S100" s="158"/>
      <c r="T100" s="122" t="s">
        <v>284</v>
      </c>
      <c r="U100" s="122" t="s">
        <v>261</v>
      </c>
    </row>
    <row r="101" spans="1:21" ht="132">
      <c r="A101" s="93">
        <v>13</v>
      </c>
      <c r="B101" s="103" t="s">
        <v>389</v>
      </c>
      <c r="C101" s="93" t="s">
        <v>14</v>
      </c>
      <c r="D101" s="118" t="s">
        <v>1030</v>
      </c>
      <c r="E101" s="128" t="s">
        <v>922</v>
      </c>
      <c r="F101" s="128" t="s">
        <v>175</v>
      </c>
      <c r="G101" s="128" t="s">
        <v>800</v>
      </c>
      <c r="H101" s="104" t="s">
        <v>801</v>
      </c>
      <c r="I101" s="128" t="s">
        <v>1027</v>
      </c>
      <c r="J101" s="158" t="s">
        <v>141</v>
      </c>
      <c r="K101" s="158">
        <v>204.72</v>
      </c>
      <c r="L101" s="158" t="s">
        <v>1018</v>
      </c>
      <c r="M101" s="158" t="s">
        <v>1031</v>
      </c>
      <c r="N101" s="121"/>
      <c r="O101" s="158">
        <v>232.7</v>
      </c>
      <c r="P101" s="158"/>
      <c r="Q101" s="158">
        <v>232.7</v>
      </c>
      <c r="R101" s="158">
        <f>52.56+6.91</f>
        <v>59.47</v>
      </c>
      <c r="S101" s="158"/>
      <c r="T101" s="122" t="s">
        <v>284</v>
      </c>
      <c r="U101" s="122" t="s">
        <v>261</v>
      </c>
    </row>
    <row r="102" spans="1:21" ht="144.75">
      <c r="A102" s="93">
        <v>13</v>
      </c>
      <c r="B102" s="103" t="s">
        <v>389</v>
      </c>
      <c r="C102" s="93" t="s">
        <v>14</v>
      </c>
      <c r="D102" s="118" t="s">
        <v>1032</v>
      </c>
      <c r="E102" s="128" t="s">
        <v>957</v>
      </c>
      <c r="F102" s="128" t="s">
        <v>175</v>
      </c>
      <c r="G102" s="128" t="s">
        <v>791</v>
      </c>
      <c r="H102" s="128" t="s">
        <v>792</v>
      </c>
      <c r="I102" s="128" t="s">
        <v>1033</v>
      </c>
      <c r="J102" s="158" t="s">
        <v>141</v>
      </c>
      <c r="K102" s="158">
        <v>113.76</v>
      </c>
      <c r="L102" s="158" t="s">
        <v>1034</v>
      </c>
      <c r="M102" s="158" t="s">
        <v>1035</v>
      </c>
      <c r="N102" s="158"/>
      <c r="O102" s="158">
        <v>94.49</v>
      </c>
      <c r="P102" s="158"/>
      <c r="Q102" s="158">
        <v>94.49</v>
      </c>
      <c r="R102" s="158">
        <v>52.88</v>
      </c>
      <c r="S102" s="158"/>
      <c r="T102" s="122" t="s">
        <v>284</v>
      </c>
      <c r="U102" s="122" t="s">
        <v>261</v>
      </c>
    </row>
    <row r="103" spans="1:21" ht="78.75">
      <c r="A103" s="93">
        <v>14</v>
      </c>
      <c r="B103" s="103" t="s">
        <v>395</v>
      </c>
      <c r="C103" s="93" t="s">
        <v>14</v>
      </c>
      <c r="D103" s="130" t="s">
        <v>1039</v>
      </c>
      <c r="E103" s="200" t="s">
        <v>857</v>
      </c>
      <c r="F103" s="146" t="s">
        <v>159</v>
      </c>
      <c r="G103" s="146" t="s">
        <v>800</v>
      </c>
      <c r="H103" s="128" t="s">
        <v>807</v>
      </c>
      <c r="I103" s="201" t="s">
        <v>1040</v>
      </c>
      <c r="J103" s="131">
        <v>25.66</v>
      </c>
      <c r="K103" s="131">
        <v>1165.05</v>
      </c>
      <c r="L103" s="202" t="s">
        <v>1041</v>
      </c>
      <c r="M103" s="202" t="s">
        <v>1042</v>
      </c>
      <c r="N103" s="202"/>
      <c r="O103" s="93"/>
      <c r="P103" s="93"/>
      <c r="Q103" s="93"/>
      <c r="R103" s="133">
        <v>866.52</v>
      </c>
      <c r="S103" s="131">
        <v>19</v>
      </c>
      <c r="T103" s="131" t="s">
        <v>400</v>
      </c>
      <c r="U103" s="93"/>
    </row>
    <row r="104" spans="1:21" ht="132">
      <c r="A104" s="93">
        <v>15</v>
      </c>
      <c r="B104" s="103" t="s">
        <v>395</v>
      </c>
      <c r="C104" s="93" t="s">
        <v>14</v>
      </c>
      <c r="D104" s="132" t="s">
        <v>1043</v>
      </c>
      <c r="E104" s="200"/>
      <c r="F104" s="146" t="s">
        <v>175</v>
      </c>
      <c r="G104" s="146" t="s">
        <v>800</v>
      </c>
      <c r="H104" s="128" t="s">
        <v>807</v>
      </c>
      <c r="I104" s="201"/>
      <c r="J104" s="131" t="s">
        <v>141</v>
      </c>
      <c r="K104" s="131">
        <v>102.07</v>
      </c>
      <c r="L104" s="233"/>
      <c r="M104" s="233"/>
      <c r="N104" s="233"/>
      <c r="O104" s="93"/>
      <c r="P104" s="93"/>
      <c r="Q104" s="93"/>
      <c r="R104" s="131">
        <v>45.42</v>
      </c>
      <c r="S104" s="131"/>
      <c r="T104" s="131" t="s">
        <v>400</v>
      </c>
      <c r="U104" s="93"/>
    </row>
    <row r="105" spans="1:21" ht="132">
      <c r="A105" s="93">
        <v>16</v>
      </c>
      <c r="B105" s="103" t="s">
        <v>395</v>
      </c>
      <c r="C105" s="93" t="s">
        <v>14</v>
      </c>
      <c r="D105" s="132" t="s">
        <v>1044</v>
      </c>
      <c r="E105" s="200"/>
      <c r="F105" s="146" t="s">
        <v>175</v>
      </c>
      <c r="G105" s="146" t="s">
        <v>800</v>
      </c>
      <c r="H105" s="128" t="s">
        <v>807</v>
      </c>
      <c r="I105" s="201"/>
      <c r="J105" s="131" t="s">
        <v>141</v>
      </c>
      <c r="K105" s="131">
        <v>102.72</v>
      </c>
      <c r="L105" s="203"/>
      <c r="M105" s="203"/>
      <c r="N105" s="203"/>
      <c r="O105" s="93"/>
      <c r="P105" s="93"/>
      <c r="Q105" s="93"/>
      <c r="R105" s="133">
        <v>270.82</v>
      </c>
      <c r="S105" s="131"/>
      <c r="T105" s="131" t="s">
        <v>400</v>
      </c>
      <c r="U105" s="93"/>
    </row>
    <row r="106" spans="1:21" ht="132">
      <c r="A106" s="93">
        <v>17</v>
      </c>
      <c r="B106" s="103" t="s">
        <v>395</v>
      </c>
      <c r="C106" s="93" t="s">
        <v>14</v>
      </c>
      <c r="D106" s="130" t="s">
        <v>1045</v>
      </c>
      <c r="E106" s="146" t="s">
        <v>914</v>
      </c>
      <c r="F106" s="146" t="s">
        <v>159</v>
      </c>
      <c r="G106" s="146" t="s">
        <v>800</v>
      </c>
      <c r="H106" s="128" t="s">
        <v>807</v>
      </c>
      <c r="I106" s="131" t="s">
        <v>1046</v>
      </c>
      <c r="J106" s="131">
        <v>19.94</v>
      </c>
      <c r="K106" s="131">
        <v>873.18</v>
      </c>
      <c r="L106" s="131" t="s">
        <v>1047</v>
      </c>
      <c r="M106" s="131" t="s">
        <v>1048</v>
      </c>
      <c r="N106" s="131"/>
      <c r="O106" s="93"/>
      <c r="P106" s="93"/>
      <c r="Q106" s="93"/>
      <c r="R106" s="131">
        <f>460.86</f>
        <v>460.86</v>
      </c>
      <c r="S106" s="131">
        <v>7</v>
      </c>
      <c r="T106" s="131" t="s">
        <v>400</v>
      </c>
      <c r="U106" s="93"/>
    </row>
    <row r="107" spans="1:21" ht="66">
      <c r="A107" s="93">
        <v>18</v>
      </c>
      <c r="B107" s="103" t="s">
        <v>395</v>
      </c>
      <c r="C107" s="93" t="s">
        <v>14</v>
      </c>
      <c r="D107" s="130" t="s">
        <v>1059</v>
      </c>
      <c r="E107" s="146" t="s">
        <v>962</v>
      </c>
      <c r="F107" s="146" t="s">
        <v>159</v>
      </c>
      <c r="G107" s="146" t="s">
        <v>800</v>
      </c>
      <c r="H107" s="128" t="s">
        <v>807</v>
      </c>
      <c r="I107" s="131" t="s">
        <v>1046</v>
      </c>
      <c r="J107" s="131">
        <v>11.95</v>
      </c>
      <c r="K107" s="131">
        <v>512.35</v>
      </c>
      <c r="L107" s="131" t="s">
        <v>1060</v>
      </c>
      <c r="M107" s="131" t="s">
        <v>1061</v>
      </c>
      <c r="N107" s="131"/>
      <c r="O107" s="93"/>
      <c r="P107" s="93"/>
      <c r="Q107" s="93"/>
      <c r="R107" s="131">
        <v>358.64</v>
      </c>
      <c r="S107" s="131">
        <v>9</v>
      </c>
      <c r="T107" s="131" t="s">
        <v>400</v>
      </c>
      <c r="U107" s="93"/>
    </row>
    <row r="108" spans="1:21" ht="92.25">
      <c r="A108" s="93">
        <v>14</v>
      </c>
      <c r="B108" s="103" t="s">
        <v>395</v>
      </c>
      <c r="C108" s="93" t="s">
        <v>14</v>
      </c>
      <c r="D108" s="136" t="s">
        <v>1062</v>
      </c>
      <c r="E108" s="146" t="s">
        <v>986</v>
      </c>
      <c r="F108" s="146" t="s">
        <v>159</v>
      </c>
      <c r="G108" s="146" t="s">
        <v>791</v>
      </c>
      <c r="H108" s="131" t="s">
        <v>792</v>
      </c>
      <c r="I108" s="131" t="s">
        <v>1063</v>
      </c>
      <c r="J108" s="131">
        <v>9.63</v>
      </c>
      <c r="K108" s="131">
        <v>360.76</v>
      </c>
      <c r="L108" s="131" t="s">
        <v>278</v>
      </c>
      <c r="M108" s="131" t="s">
        <v>685</v>
      </c>
      <c r="N108" s="131"/>
      <c r="O108" s="93"/>
      <c r="P108" s="93"/>
      <c r="Q108" s="93"/>
      <c r="R108" s="131">
        <v>253.39</v>
      </c>
      <c r="S108" s="131">
        <v>9</v>
      </c>
      <c r="T108" s="131" t="s">
        <v>400</v>
      </c>
      <c r="U108" s="93"/>
    </row>
    <row r="109" spans="1:21" ht="66">
      <c r="A109" s="93">
        <v>19</v>
      </c>
      <c r="B109" s="103" t="s">
        <v>395</v>
      </c>
      <c r="C109" s="93" t="s">
        <v>14</v>
      </c>
      <c r="D109" s="136" t="s">
        <v>1064</v>
      </c>
      <c r="E109" s="146" t="s">
        <v>990</v>
      </c>
      <c r="F109" s="146" t="s">
        <v>159</v>
      </c>
      <c r="G109" s="146" t="s">
        <v>800</v>
      </c>
      <c r="H109" s="104" t="s">
        <v>801</v>
      </c>
      <c r="I109" s="131" t="s">
        <v>1065</v>
      </c>
      <c r="J109" s="131">
        <v>14.81</v>
      </c>
      <c r="K109" s="131">
        <v>515.38</v>
      </c>
      <c r="L109" s="131" t="s">
        <v>1066</v>
      </c>
      <c r="M109" s="131" t="s">
        <v>1067</v>
      </c>
      <c r="N109" s="131"/>
      <c r="O109" s="93"/>
      <c r="P109" s="93"/>
      <c r="Q109" s="93"/>
      <c r="R109" s="131">
        <f>134.66+69.08</f>
        <v>203.74</v>
      </c>
      <c r="S109" s="131"/>
      <c r="T109" s="131" t="s">
        <v>400</v>
      </c>
      <c r="U109" s="93"/>
    </row>
    <row r="110" spans="1:21" ht="66">
      <c r="A110" s="93">
        <v>15</v>
      </c>
      <c r="B110" s="103" t="s">
        <v>395</v>
      </c>
      <c r="C110" s="93" t="s">
        <v>14</v>
      </c>
      <c r="D110" s="136" t="s">
        <v>1068</v>
      </c>
      <c r="E110" s="146" t="s">
        <v>992</v>
      </c>
      <c r="F110" s="146" t="s">
        <v>159</v>
      </c>
      <c r="G110" s="146" t="s">
        <v>791</v>
      </c>
      <c r="H110" s="131" t="s">
        <v>792</v>
      </c>
      <c r="I110" s="131" t="s">
        <v>1017</v>
      </c>
      <c r="J110" s="131">
        <v>25</v>
      </c>
      <c r="K110" s="131">
        <v>847.98</v>
      </c>
      <c r="L110" s="131" t="s">
        <v>1069</v>
      </c>
      <c r="M110" s="131" t="s">
        <v>1070</v>
      </c>
      <c r="N110" s="131"/>
      <c r="O110" s="93"/>
      <c r="P110" s="93"/>
      <c r="Q110" s="93"/>
      <c r="R110" s="131">
        <v>90.95</v>
      </c>
      <c r="S110" s="131"/>
      <c r="T110" s="131" t="s">
        <v>400</v>
      </c>
      <c r="U110" s="93"/>
    </row>
    <row r="111" spans="1:21" ht="66">
      <c r="A111" s="93">
        <v>16</v>
      </c>
      <c r="B111" s="103" t="s">
        <v>395</v>
      </c>
      <c r="C111" s="93" t="s">
        <v>14</v>
      </c>
      <c r="D111" s="136" t="s">
        <v>1071</v>
      </c>
      <c r="E111" s="146" t="s">
        <v>994</v>
      </c>
      <c r="F111" s="146" t="s">
        <v>159</v>
      </c>
      <c r="G111" s="146" t="s">
        <v>791</v>
      </c>
      <c r="H111" s="131" t="s">
        <v>792</v>
      </c>
      <c r="I111" s="131" t="s">
        <v>1072</v>
      </c>
      <c r="J111" s="131">
        <v>8.12</v>
      </c>
      <c r="K111" s="131">
        <v>327.87</v>
      </c>
      <c r="L111" s="131" t="s">
        <v>1066</v>
      </c>
      <c r="M111" s="131" t="s">
        <v>1073</v>
      </c>
      <c r="N111" s="131"/>
      <c r="O111" s="93"/>
      <c r="P111" s="93"/>
      <c r="Q111" s="93"/>
      <c r="R111" s="131">
        <v>215.53</v>
      </c>
      <c r="S111" s="131">
        <v>8.12</v>
      </c>
      <c r="T111" s="131" t="s">
        <v>400</v>
      </c>
      <c r="U111" s="93"/>
    </row>
    <row r="112" spans="1:21" ht="66">
      <c r="A112" s="93">
        <v>20</v>
      </c>
      <c r="B112" s="103" t="s">
        <v>395</v>
      </c>
      <c r="C112" s="93" t="s">
        <v>14</v>
      </c>
      <c r="D112" s="136" t="s">
        <v>1076</v>
      </c>
      <c r="E112" s="146" t="s">
        <v>999</v>
      </c>
      <c r="F112" s="146" t="s">
        <v>159</v>
      </c>
      <c r="G112" s="146" t="s">
        <v>800</v>
      </c>
      <c r="H112" s="128" t="s">
        <v>807</v>
      </c>
      <c r="I112" s="131" t="s">
        <v>1046</v>
      </c>
      <c r="J112" s="131">
        <v>11.43</v>
      </c>
      <c r="K112" s="131">
        <v>484.37</v>
      </c>
      <c r="L112" s="131" t="s">
        <v>278</v>
      </c>
      <c r="M112" s="131" t="s">
        <v>661</v>
      </c>
      <c r="N112" s="131"/>
      <c r="O112" s="93"/>
      <c r="P112" s="93"/>
      <c r="Q112" s="93"/>
      <c r="R112" s="131">
        <v>211.59</v>
      </c>
      <c r="S112" s="131"/>
      <c r="T112" s="131" t="s">
        <v>400</v>
      </c>
      <c r="U112" s="93"/>
    </row>
    <row r="113" spans="1:21" ht="118.5">
      <c r="A113" s="93">
        <v>21</v>
      </c>
      <c r="B113" s="103" t="s">
        <v>415</v>
      </c>
      <c r="C113" s="93" t="s">
        <v>14</v>
      </c>
      <c r="D113" s="64" t="s">
        <v>1081</v>
      </c>
      <c r="E113" s="146" t="s">
        <v>799</v>
      </c>
      <c r="F113" s="146" t="s">
        <v>175</v>
      </c>
      <c r="G113" s="146" t="s">
        <v>800</v>
      </c>
      <c r="H113" s="147" t="s">
        <v>807</v>
      </c>
      <c r="I113" s="147" t="s">
        <v>1082</v>
      </c>
      <c r="J113" s="131" t="s">
        <v>141</v>
      </c>
      <c r="K113" s="131">
        <v>251.93</v>
      </c>
      <c r="L113" s="63" t="s">
        <v>1083</v>
      </c>
      <c r="M113" s="63" t="s">
        <v>414</v>
      </c>
      <c r="N113" s="63"/>
      <c r="O113" s="93"/>
      <c r="P113" s="93"/>
      <c r="Q113" s="93"/>
      <c r="R113" s="98">
        <v>151.64</v>
      </c>
      <c r="S113" s="98"/>
      <c r="T113" s="63" t="s">
        <v>400</v>
      </c>
      <c r="U113" s="63" t="s">
        <v>141</v>
      </c>
    </row>
    <row r="114" spans="1:21" ht="210.75">
      <c r="A114" s="93">
        <v>22</v>
      </c>
      <c r="B114" s="103" t="s">
        <v>415</v>
      </c>
      <c r="C114" s="93" t="s">
        <v>14</v>
      </c>
      <c r="D114" s="64" t="s">
        <v>1090</v>
      </c>
      <c r="E114" s="146" t="s">
        <v>881</v>
      </c>
      <c r="F114" s="146" t="s">
        <v>175</v>
      </c>
      <c r="G114" s="146" t="s">
        <v>800</v>
      </c>
      <c r="H114" s="147" t="s">
        <v>807</v>
      </c>
      <c r="I114" s="147" t="s">
        <v>969</v>
      </c>
      <c r="J114" s="131" t="s">
        <v>141</v>
      </c>
      <c r="K114" s="131">
        <v>150.94</v>
      </c>
      <c r="L114" s="63" t="s">
        <v>1091</v>
      </c>
      <c r="M114" s="63" t="s">
        <v>1092</v>
      </c>
      <c r="N114" s="63"/>
      <c r="O114" s="93"/>
      <c r="P114" s="93"/>
      <c r="Q114" s="93"/>
      <c r="R114" s="98">
        <v>133.96</v>
      </c>
      <c r="S114" s="98"/>
      <c r="T114" s="63" t="s">
        <v>400</v>
      </c>
      <c r="U114" s="63" t="s">
        <v>141</v>
      </c>
    </row>
    <row r="115" spans="1:21" ht="118.5">
      <c r="A115" s="93">
        <v>23</v>
      </c>
      <c r="B115" s="103" t="s">
        <v>415</v>
      </c>
      <c r="C115" s="93" t="s">
        <v>14</v>
      </c>
      <c r="D115" s="64" t="s">
        <v>1093</v>
      </c>
      <c r="E115" s="146" t="s">
        <v>857</v>
      </c>
      <c r="F115" s="146" t="s">
        <v>175</v>
      </c>
      <c r="G115" s="146" t="s">
        <v>800</v>
      </c>
      <c r="H115" s="147" t="s">
        <v>807</v>
      </c>
      <c r="I115" s="147" t="s">
        <v>1010</v>
      </c>
      <c r="J115" s="131" t="s">
        <v>141</v>
      </c>
      <c r="K115" s="131">
        <v>137.76</v>
      </c>
      <c r="L115" s="63" t="s">
        <v>316</v>
      </c>
      <c r="M115" s="63" t="s">
        <v>937</v>
      </c>
      <c r="N115" s="63"/>
      <c r="O115" s="93"/>
      <c r="P115" s="93"/>
      <c r="Q115" s="93"/>
      <c r="R115" s="98">
        <v>83.57</v>
      </c>
      <c r="S115" s="98"/>
      <c r="T115" s="63" t="s">
        <v>400</v>
      </c>
      <c r="U115" s="63" t="s">
        <v>141</v>
      </c>
    </row>
    <row r="116" spans="1:21" ht="132">
      <c r="A116" s="93">
        <v>24</v>
      </c>
      <c r="B116" s="103" t="s">
        <v>415</v>
      </c>
      <c r="C116" s="93" t="s">
        <v>14</v>
      </c>
      <c r="D116" s="64" t="s">
        <v>1094</v>
      </c>
      <c r="E116" s="146" t="s">
        <v>860</v>
      </c>
      <c r="F116" s="146" t="s">
        <v>175</v>
      </c>
      <c r="G116" s="146" t="s">
        <v>800</v>
      </c>
      <c r="H116" s="147" t="s">
        <v>807</v>
      </c>
      <c r="I116" s="147" t="s">
        <v>831</v>
      </c>
      <c r="J116" s="131" t="s">
        <v>141</v>
      </c>
      <c r="K116" s="131">
        <v>253.02</v>
      </c>
      <c r="L116" s="63" t="s">
        <v>963</v>
      </c>
      <c r="M116" s="63" t="s">
        <v>322</v>
      </c>
      <c r="N116" s="63"/>
      <c r="O116" s="93"/>
      <c r="P116" s="93"/>
      <c r="Q116" s="93"/>
      <c r="R116" s="98">
        <v>209.46</v>
      </c>
      <c r="S116" s="98"/>
      <c r="T116" s="63" t="s">
        <v>400</v>
      </c>
      <c r="U116" s="63" t="s">
        <v>141</v>
      </c>
    </row>
    <row r="117" spans="1:21" ht="171">
      <c r="A117" s="93">
        <v>25</v>
      </c>
      <c r="B117" s="103" t="s">
        <v>415</v>
      </c>
      <c r="C117" s="93" t="s">
        <v>14</v>
      </c>
      <c r="D117" s="64" t="s">
        <v>1095</v>
      </c>
      <c r="E117" s="146" t="s">
        <v>910</v>
      </c>
      <c r="F117" s="146" t="s">
        <v>175</v>
      </c>
      <c r="G117" s="146" t="s">
        <v>800</v>
      </c>
      <c r="H117" s="147" t="s">
        <v>807</v>
      </c>
      <c r="I117" s="147" t="s">
        <v>1096</v>
      </c>
      <c r="J117" s="131" t="s">
        <v>141</v>
      </c>
      <c r="K117" s="131">
        <v>105.99</v>
      </c>
      <c r="L117" s="63" t="s">
        <v>316</v>
      </c>
      <c r="M117" s="63" t="s">
        <v>937</v>
      </c>
      <c r="N117" s="63"/>
      <c r="O117" s="93"/>
      <c r="P117" s="93"/>
      <c r="Q117" s="93"/>
      <c r="R117" s="98">
        <v>17.03</v>
      </c>
      <c r="S117" s="98"/>
      <c r="T117" s="63" t="s">
        <v>400</v>
      </c>
      <c r="U117" s="63" t="s">
        <v>141</v>
      </c>
    </row>
    <row r="118" spans="1:21" ht="118.5">
      <c r="A118" s="93">
        <v>26</v>
      </c>
      <c r="B118" s="103" t="s">
        <v>415</v>
      </c>
      <c r="C118" s="93" t="s">
        <v>14</v>
      </c>
      <c r="D118" s="64" t="s">
        <v>1097</v>
      </c>
      <c r="E118" s="146" t="s">
        <v>914</v>
      </c>
      <c r="F118" s="146" t="s">
        <v>135</v>
      </c>
      <c r="G118" s="146" t="s">
        <v>800</v>
      </c>
      <c r="H118" s="147" t="s">
        <v>807</v>
      </c>
      <c r="I118" s="147" t="s">
        <v>1098</v>
      </c>
      <c r="J118" s="131">
        <v>10.9</v>
      </c>
      <c r="K118" s="131">
        <v>637.76</v>
      </c>
      <c r="L118" s="63" t="s">
        <v>460</v>
      </c>
      <c r="M118" s="63" t="s">
        <v>1099</v>
      </c>
      <c r="N118" s="63"/>
      <c r="O118" s="93"/>
      <c r="P118" s="93"/>
      <c r="Q118" s="93"/>
      <c r="R118" s="98">
        <v>287.41</v>
      </c>
      <c r="S118" s="98">
        <v>3</v>
      </c>
      <c r="T118" s="63" t="s">
        <v>400</v>
      </c>
      <c r="U118" s="63" t="s">
        <v>451</v>
      </c>
    </row>
    <row r="119" spans="1:21" ht="132">
      <c r="A119" s="93">
        <v>27</v>
      </c>
      <c r="B119" s="103" t="s">
        <v>415</v>
      </c>
      <c r="C119" s="93" t="s">
        <v>14</v>
      </c>
      <c r="D119" s="64" t="s">
        <v>1100</v>
      </c>
      <c r="E119" s="146" t="s">
        <v>917</v>
      </c>
      <c r="F119" s="146" t="s">
        <v>135</v>
      </c>
      <c r="G119" s="146" t="s">
        <v>800</v>
      </c>
      <c r="H119" s="147" t="s">
        <v>807</v>
      </c>
      <c r="I119" s="147" t="s">
        <v>1101</v>
      </c>
      <c r="J119" s="131">
        <v>5</v>
      </c>
      <c r="K119" s="131">
        <v>324.14</v>
      </c>
      <c r="L119" s="63" t="s">
        <v>963</v>
      </c>
      <c r="M119" s="63" t="s">
        <v>322</v>
      </c>
      <c r="N119" s="63"/>
      <c r="O119" s="93"/>
      <c r="P119" s="93"/>
      <c r="Q119" s="93"/>
      <c r="R119" s="98">
        <v>161.41</v>
      </c>
      <c r="S119" s="98">
        <v>2.5</v>
      </c>
      <c r="T119" s="63" t="s">
        <v>400</v>
      </c>
      <c r="U119" s="63" t="s">
        <v>451</v>
      </c>
    </row>
    <row r="120" spans="1:21" ht="92.25">
      <c r="A120" s="93">
        <v>1</v>
      </c>
      <c r="B120" s="103" t="s">
        <v>415</v>
      </c>
      <c r="C120" s="93" t="s">
        <v>14</v>
      </c>
      <c r="D120" s="64" t="s">
        <v>1102</v>
      </c>
      <c r="E120" s="146" t="s">
        <v>922</v>
      </c>
      <c r="F120" s="146" t="s">
        <v>135</v>
      </c>
      <c r="G120" s="146" t="s">
        <v>800</v>
      </c>
      <c r="H120" s="147" t="s">
        <v>792</v>
      </c>
      <c r="I120" s="147"/>
      <c r="J120" s="131">
        <v>10.5</v>
      </c>
      <c r="K120" s="131">
        <v>617.99</v>
      </c>
      <c r="L120" s="63" t="s">
        <v>1103</v>
      </c>
      <c r="M120" s="63" t="s">
        <v>1104</v>
      </c>
      <c r="N120" s="63"/>
      <c r="O120" s="93"/>
      <c r="P120" s="93"/>
      <c r="Q120" s="93"/>
      <c r="R120" s="98">
        <v>104.35</v>
      </c>
      <c r="S120" s="98">
        <v>0.5</v>
      </c>
      <c r="T120" s="63" t="s">
        <v>400</v>
      </c>
      <c r="U120" s="63" t="s">
        <v>747</v>
      </c>
    </row>
    <row r="121" spans="1:21" ht="144.75">
      <c r="A121" s="93">
        <v>28</v>
      </c>
      <c r="B121" s="103" t="s">
        <v>415</v>
      </c>
      <c r="C121" s="93" t="s">
        <v>14</v>
      </c>
      <c r="D121" s="64" t="s">
        <v>1105</v>
      </c>
      <c r="E121" s="146" t="s">
        <v>957</v>
      </c>
      <c r="F121" s="146" t="s">
        <v>135</v>
      </c>
      <c r="G121" s="146" t="s">
        <v>800</v>
      </c>
      <c r="H121" s="147" t="s">
        <v>792</v>
      </c>
      <c r="I121" s="147"/>
      <c r="J121" s="131">
        <v>6</v>
      </c>
      <c r="K121" s="131">
        <v>307.85</v>
      </c>
      <c r="L121" s="63" t="s">
        <v>1103</v>
      </c>
      <c r="M121" s="63" t="s">
        <v>1106</v>
      </c>
      <c r="N121" s="63"/>
      <c r="O121" s="93"/>
      <c r="P121" s="93"/>
      <c r="Q121" s="93"/>
      <c r="R121" s="98">
        <v>43.39</v>
      </c>
      <c r="S121" s="98"/>
      <c r="T121" s="63" t="s">
        <v>400</v>
      </c>
      <c r="U121" s="63" t="s">
        <v>451</v>
      </c>
    </row>
    <row r="122" spans="1:21" ht="66">
      <c r="A122" s="93">
        <v>1</v>
      </c>
      <c r="B122" s="103" t="s">
        <v>445</v>
      </c>
      <c r="C122" s="93" t="s">
        <v>14</v>
      </c>
      <c r="D122" s="66" t="s">
        <v>1107</v>
      </c>
      <c r="E122" s="43" t="s">
        <v>962</v>
      </c>
      <c r="F122" s="43" t="s">
        <v>135</v>
      </c>
      <c r="G122" s="43" t="s">
        <v>791</v>
      </c>
      <c r="H122" s="43" t="s">
        <v>792</v>
      </c>
      <c r="I122" s="142"/>
      <c r="J122" s="67">
        <v>14.86</v>
      </c>
      <c r="K122" s="142">
        <v>881.6</v>
      </c>
      <c r="L122" s="142"/>
      <c r="M122" s="142"/>
      <c r="N122" s="142"/>
      <c r="O122" s="93"/>
      <c r="P122" s="93"/>
      <c r="Q122" s="142"/>
      <c r="R122" s="142"/>
      <c r="S122" s="142"/>
      <c r="T122" s="142" t="s">
        <v>777</v>
      </c>
      <c r="U122" s="142" t="s">
        <v>1108</v>
      </c>
    </row>
    <row r="123" spans="1:21" ht="66">
      <c r="A123" s="93">
        <v>2</v>
      </c>
      <c r="B123" s="103" t="s">
        <v>445</v>
      </c>
      <c r="C123" s="93" t="s">
        <v>14</v>
      </c>
      <c r="D123" s="66" t="s">
        <v>1109</v>
      </c>
      <c r="E123" s="43" t="s">
        <v>984</v>
      </c>
      <c r="F123" s="43" t="s">
        <v>135</v>
      </c>
      <c r="G123" s="43" t="s">
        <v>791</v>
      </c>
      <c r="H123" s="43" t="s">
        <v>792</v>
      </c>
      <c r="I123" s="142"/>
      <c r="J123" s="67">
        <v>15.825</v>
      </c>
      <c r="K123" s="142">
        <v>887.42</v>
      </c>
      <c r="L123" s="142"/>
      <c r="M123" s="142"/>
      <c r="N123" s="142"/>
      <c r="O123" s="93"/>
      <c r="P123" s="93"/>
      <c r="Q123" s="142"/>
      <c r="R123" s="142"/>
      <c r="S123" s="142"/>
      <c r="T123" s="142" t="s">
        <v>777</v>
      </c>
      <c r="U123" s="142" t="s">
        <v>1108</v>
      </c>
    </row>
    <row r="124" spans="1:21" ht="78.75">
      <c r="A124" s="93">
        <v>3</v>
      </c>
      <c r="B124" s="103" t="s">
        <v>445</v>
      </c>
      <c r="C124" s="93" t="s">
        <v>14</v>
      </c>
      <c r="D124" s="124" t="s">
        <v>1110</v>
      </c>
      <c r="E124" s="43" t="s">
        <v>990</v>
      </c>
      <c r="F124" s="43" t="s">
        <v>135</v>
      </c>
      <c r="G124" s="43" t="s">
        <v>791</v>
      </c>
      <c r="H124" s="43" t="s">
        <v>792</v>
      </c>
      <c r="I124" s="142"/>
      <c r="J124" s="67">
        <v>7.565</v>
      </c>
      <c r="K124" s="142">
        <v>397.49</v>
      </c>
      <c r="L124" s="142"/>
      <c r="M124" s="142"/>
      <c r="N124" s="142"/>
      <c r="O124" s="93"/>
      <c r="P124" s="93"/>
      <c r="Q124" s="142"/>
      <c r="R124" s="142"/>
      <c r="S124" s="142"/>
      <c r="T124" s="142" t="s">
        <v>777</v>
      </c>
      <c r="U124" s="142" t="s">
        <v>1108</v>
      </c>
    </row>
    <row r="125" spans="1:21" ht="92.25">
      <c r="A125" s="93">
        <v>4</v>
      </c>
      <c r="B125" s="103" t="s">
        <v>445</v>
      </c>
      <c r="C125" s="93" t="s">
        <v>14</v>
      </c>
      <c r="D125" s="66" t="s">
        <v>1111</v>
      </c>
      <c r="E125" s="43" t="s">
        <v>999</v>
      </c>
      <c r="F125" s="43" t="s">
        <v>135</v>
      </c>
      <c r="G125" s="43" t="s">
        <v>791</v>
      </c>
      <c r="H125" s="43" t="s">
        <v>792</v>
      </c>
      <c r="I125" s="142"/>
      <c r="J125" s="67">
        <v>4.15</v>
      </c>
      <c r="K125" s="142">
        <v>246.17</v>
      </c>
      <c r="L125" s="142"/>
      <c r="M125" s="142"/>
      <c r="N125" s="142"/>
      <c r="O125" s="93"/>
      <c r="P125" s="93"/>
      <c r="Q125" s="142"/>
      <c r="R125" s="142"/>
      <c r="S125" s="142"/>
      <c r="T125" s="142" t="s">
        <v>3167</v>
      </c>
      <c r="U125" s="142" t="s">
        <v>778</v>
      </c>
    </row>
    <row r="126" spans="1:21" ht="66">
      <c r="A126" s="93">
        <v>2</v>
      </c>
      <c r="B126" s="103" t="s">
        <v>445</v>
      </c>
      <c r="C126" s="93" t="s">
        <v>14</v>
      </c>
      <c r="D126" s="66" t="s">
        <v>1112</v>
      </c>
      <c r="E126" s="43" t="s">
        <v>1002</v>
      </c>
      <c r="F126" s="43" t="s">
        <v>135</v>
      </c>
      <c r="G126" s="43" t="s">
        <v>806</v>
      </c>
      <c r="H126" s="43" t="s">
        <v>801</v>
      </c>
      <c r="I126" s="142" t="s">
        <v>1113</v>
      </c>
      <c r="J126" s="67">
        <v>3.83</v>
      </c>
      <c r="K126" s="142">
        <v>242.73</v>
      </c>
      <c r="L126" s="142" t="s">
        <v>1088</v>
      </c>
      <c r="M126" s="142" t="s">
        <v>1089</v>
      </c>
      <c r="N126" s="142"/>
      <c r="O126" s="93"/>
      <c r="P126" s="93"/>
      <c r="Q126" s="142">
        <v>189.47</v>
      </c>
      <c r="R126" s="142">
        <v>128.56</v>
      </c>
      <c r="S126" s="142">
        <v>1.5</v>
      </c>
      <c r="T126" s="142" t="s">
        <v>400</v>
      </c>
      <c r="U126" s="142"/>
    </row>
    <row r="127" spans="1:21" ht="105">
      <c r="A127" s="93">
        <v>5</v>
      </c>
      <c r="B127" s="103" t="s">
        <v>445</v>
      </c>
      <c r="C127" s="93" t="s">
        <v>14</v>
      </c>
      <c r="D127" s="124" t="s">
        <v>1114</v>
      </c>
      <c r="E127" s="43" t="s">
        <v>1115</v>
      </c>
      <c r="F127" s="43" t="s">
        <v>135</v>
      </c>
      <c r="G127" s="43" t="s">
        <v>791</v>
      </c>
      <c r="H127" s="43" t="s">
        <v>792</v>
      </c>
      <c r="I127" s="142"/>
      <c r="J127" s="67">
        <v>10.225</v>
      </c>
      <c r="K127" s="142">
        <v>521.91</v>
      </c>
      <c r="L127" s="142"/>
      <c r="M127" s="142"/>
      <c r="N127" s="142"/>
      <c r="O127" s="93"/>
      <c r="P127" s="93"/>
      <c r="Q127" s="142"/>
      <c r="R127" s="142"/>
      <c r="S127" s="142"/>
      <c r="T127" s="142" t="s">
        <v>777</v>
      </c>
      <c r="U127" s="142" t="s">
        <v>1108</v>
      </c>
    </row>
    <row r="128" spans="1:21" ht="66">
      <c r="A128" s="93">
        <v>2</v>
      </c>
      <c r="B128" s="103" t="s">
        <v>445</v>
      </c>
      <c r="C128" s="93" t="s">
        <v>14</v>
      </c>
      <c r="D128" s="66" t="s">
        <v>1116</v>
      </c>
      <c r="E128" s="43" t="s">
        <v>1117</v>
      </c>
      <c r="F128" s="43" t="s">
        <v>135</v>
      </c>
      <c r="G128" s="43" t="s">
        <v>800</v>
      </c>
      <c r="H128" s="43" t="s">
        <v>807</v>
      </c>
      <c r="I128" s="142"/>
      <c r="J128" s="67">
        <v>31.25</v>
      </c>
      <c r="K128" s="142">
        <v>1979.54</v>
      </c>
      <c r="L128" s="142"/>
      <c r="M128" s="142"/>
      <c r="N128" s="142"/>
      <c r="O128" s="93"/>
      <c r="P128" s="93"/>
      <c r="Q128" s="142"/>
      <c r="R128" s="142">
        <v>13.49</v>
      </c>
      <c r="S128" s="142"/>
      <c r="T128" s="142" t="s">
        <v>1118</v>
      </c>
      <c r="U128" s="142" t="s">
        <v>712</v>
      </c>
    </row>
    <row r="129" spans="1:21" ht="78.75">
      <c r="A129" s="93">
        <v>17</v>
      </c>
      <c r="B129" s="103" t="s">
        <v>445</v>
      </c>
      <c r="C129" s="93" t="s">
        <v>14</v>
      </c>
      <c r="D129" s="66" t="s">
        <v>1119</v>
      </c>
      <c r="E129" s="43" t="s">
        <v>1120</v>
      </c>
      <c r="F129" s="43" t="s">
        <v>138</v>
      </c>
      <c r="G129" s="43" t="s">
        <v>791</v>
      </c>
      <c r="H129" s="43" t="s">
        <v>792</v>
      </c>
      <c r="I129" s="142"/>
      <c r="J129" s="67">
        <v>30</v>
      </c>
      <c r="K129" s="142">
        <v>941.14</v>
      </c>
      <c r="L129" s="142"/>
      <c r="M129" s="142"/>
      <c r="N129" s="142"/>
      <c r="O129" s="93"/>
      <c r="P129" s="93"/>
      <c r="Q129" s="142">
        <v>1012.72</v>
      </c>
      <c r="R129" s="142">
        <v>92.76</v>
      </c>
      <c r="S129" s="142"/>
      <c r="T129" s="142" t="s">
        <v>400</v>
      </c>
      <c r="U129" s="142" t="s">
        <v>451</v>
      </c>
    </row>
    <row r="130" spans="1:21" ht="92.25">
      <c r="A130" s="93">
        <v>18</v>
      </c>
      <c r="B130" s="103" t="s">
        <v>445</v>
      </c>
      <c r="C130" s="93" t="s">
        <v>14</v>
      </c>
      <c r="D130" s="66" t="s">
        <v>1121</v>
      </c>
      <c r="E130" s="43" t="s">
        <v>1122</v>
      </c>
      <c r="F130" s="43" t="s">
        <v>138</v>
      </c>
      <c r="G130" s="43" t="s">
        <v>791</v>
      </c>
      <c r="H130" s="43" t="s">
        <v>792</v>
      </c>
      <c r="I130" s="142" t="s">
        <v>1123</v>
      </c>
      <c r="J130" s="67">
        <v>1</v>
      </c>
      <c r="K130" s="142">
        <v>60</v>
      </c>
      <c r="L130" s="142" t="s">
        <v>1124</v>
      </c>
      <c r="M130" s="142" t="s">
        <v>1125</v>
      </c>
      <c r="N130" s="142"/>
      <c r="O130" s="93"/>
      <c r="P130" s="93"/>
      <c r="Q130" s="142">
        <v>56.02</v>
      </c>
      <c r="R130" s="142">
        <v>10.35</v>
      </c>
      <c r="S130" s="142"/>
      <c r="T130" s="142" t="s">
        <v>400</v>
      </c>
      <c r="U130" s="142" t="s">
        <v>451</v>
      </c>
    </row>
    <row r="131" spans="1:21" ht="66">
      <c r="A131" s="93">
        <v>3</v>
      </c>
      <c r="B131" s="103" t="s">
        <v>445</v>
      </c>
      <c r="C131" s="93" t="s">
        <v>14</v>
      </c>
      <c r="D131" s="66" t="s">
        <v>1126</v>
      </c>
      <c r="E131" s="43" t="s">
        <v>1127</v>
      </c>
      <c r="F131" s="43" t="s">
        <v>391</v>
      </c>
      <c r="G131" s="43" t="s">
        <v>806</v>
      </c>
      <c r="H131" s="43" t="s">
        <v>801</v>
      </c>
      <c r="I131" s="142" t="s">
        <v>1128</v>
      </c>
      <c r="J131" s="67">
        <v>6</v>
      </c>
      <c r="K131" s="142">
        <v>463.67</v>
      </c>
      <c r="L131" s="142"/>
      <c r="M131" s="142"/>
      <c r="N131" s="142"/>
      <c r="O131" s="93"/>
      <c r="P131" s="93"/>
      <c r="Q131" s="142">
        <v>498.13</v>
      </c>
      <c r="R131" s="142">
        <v>2.95</v>
      </c>
      <c r="S131" s="142"/>
      <c r="T131" s="142" t="s">
        <v>400</v>
      </c>
      <c r="U131" s="142"/>
    </row>
    <row r="132" spans="1:21" ht="78.75">
      <c r="A132" s="93">
        <v>4</v>
      </c>
      <c r="B132" s="103" t="s">
        <v>445</v>
      </c>
      <c r="C132" s="93" t="s">
        <v>14</v>
      </c>
      <c r="D132" s="66" t="s">
        <v>1129</v>
      </c>
      <c r="E132" s="43" t="s">
        <v>1130</v>
      </c>
      <c r="F132" s="43" t="s">
        <v>391</v>
      </c>
      <c r="G132" s="43" t="s">
        <v>806</v>
      </c>
      <c r="H132" s="113" t="s">
        <v>801</v>
      </c>
      <c r="I132" s="142" t="s">
        <v>1131</v>
      </c>
      <c r="J132" s="67">
        <v>6</v>
      </c>
      <c r="K132" s="142">
        <v>459.22</v>
      </c>
      <c r="L132" s="142" t="s">
        <v>1132</v>
      </c>
      <c r="M132" s="142" t="s">
        <v>1133</v>
      </c>
      <c r="N132" s="142"/>
      <c r="O132" s="93"/>
      <c r="P132" s="93"/>
      <c r="Q132" s="142">
        <v>437.47</v>
      </c>
      <c r="R132" s="142">
        <f>0.79+141.99</f>
        <v>142.78</v>
      </c>
      <c r="S132" s="142"/>
      <c r="T132" s="142" t="s">
        <v>400</v>
      </c>
      <c r="U132" s="142"/>
    </row>
    <row r="133" spans="1:21" ht="92.25">
      <c r="A133" s="93">
        <v>5</v>
      </c>
      <c r="B133" s="103" t="s">
        <v>445</v>
      </c>
      <c r="C133" s="93" t="s">
        <v>14</v>
      </c>
      <c r="D133" s="66" t="s">
        <v>1134</v>
      </c>
      <c r="E133" s="43" t="s">
        <v>1135</v>
      </c>
      <c r="F133" s="43" t="s">
        <v>391</v>
      </c>
      <c r="G133" s="43" t="s">
        <v>806</v>
      </c>
      <c r="H133" s="113" t="s">
        <v>801</v>
      </c>
      <c r="I133" s="142" t="s">
        <v>687</v>
      </c>
      <c r="J133" s="67">
        <v>11</v>
      </c>
      <c r="K133" s="142">
        <v>795.08</v>
      </c>
      <c r="L133" s="142" t="s">
        <v>1124</v>
      </c>
      <c r="M133" s="142" t="s">
        <v>763</v>
      </c>
      <c r="N133" s="142"/>
      <c r="O133" s="93"/>
      <c r="P133" s="93"/>
      <c r="Q133" s="142">
        <v>928.21</v>
      </c>
      <c r="R133" s="142">
        <v>431.61</v>
      </c>
      <c r="S133" s="142"/>
      <c r="T133" s="142" t="s">
        <v>400</v>
      </c>
      <c r="U133" s="142"/>
    </row>
    <row r="134" spans="1:21" ht="66">
      <c r="A134" s="93">
        <v>6</v>
      </c>
      <c r="B134" s="103" t="s">
        <v>445</v>
      </c>
      <c r="C134" s="93" t="s">
        <v>14</v>
      </c>
      <c r="D134" s="66" t="s">
        <v>1136</v>
      </c>
      <c r="E134" s="43" t="s">
        <v>1137</v>
      </c>
      <c r="F134" s="43" t="s">
        <v>391</v>
      </c>
      <c r="G134" s="43" t="s">
        <v>806</v>
      </c>
      <c r="H134" s="43" t="s">
        <v>807</v>
      </c>
      <c r="I134" s="142" t="s">
        <v>1138</v>
      </c>
      <c r="J134" s="67">
        <v>8</v>
      </c>
      <c r="K134" s="142">
        <v>413.6</v>
      </c>
      <c r="L134" s="142" t="s">
        <v>414</v>
      </c>
      <c r="M134" s="142" t="s">
        <v>1139</v>
      </c>
      <c r="N134" s="142"/>
      <c r="O134" s="93"/>
      <c r="P134" s="93"/>
      <c r="Q134" s="142">
        <v>450.19</v>
      </c>
      <c r="R134" s="142">
        <v>198.85</v>
      </c>
      <c r="S134" s="142"/>
      <c r="T134" s="142" t="s">
        <v>400</v>
      </c>
      <c r="U134" s="142"/>
    </row>
    <row r="135" spans="1:21" ht="78.75">
      <c r="A135" s="93">
        <v>2</v>
      </c>
      <c r="B135" s="103" t="s">
        <v>445</v>
      </c>
      <c r="C135" s="93" t="s">
        <v>14</v>
      </c>
      <c r="D135" s="66" t="s">
        <v>1140</v>
      </c>
      <c r="E135" s="43" t="s">
        <v>1141</v>
      </c>
      <c r="F135" s="43" t="s">
        <v>135</v>
      </c>
      <c r="G135" s="43" t="s">
        <v>806</v>
      </c>
      <c r="H135" s="43" t="s">
        <v>807</v>
      </c>
      <c r="I135" s="142" t="s">
        <v>399</v>
      </c>
      <c r="J135" s="67">
        <v>16</v>
      </c>
      <c r="K135" s="142">
        <v>960.37</v>
      </c>
      <c r="L135" s="142" t="s">
        <v>1142</v>
      </c>
      <c r="M135" s="142" t="s">
        <v>1143</v>
      </c>
      <c r="N135" s="142"/>
      <c r="O135" s="93"/>
      <c r="P135" s="93"/>
      <c r="Q135" s="142">
        <v>937.05</v>
      </c>
      <c r="R135" s="142">
        <v>212.39</v>
      </c>
      <c r="S135" s="142">
        <v>3</v>
      </c>
      <c r="T135" s="142" t="s">
        <v>400</v>
      </c>
      <c r="U135" s="142" t="s">
        <v>747</v>
      </c>
    </row>
    <row r="136" spans="1:21" ht="78.75">
      <c r="A136" s="93">
        <v>3</v>
      </c>
      <c r="B136" s="103" t="s">
        <v>445</v>
      </c>
      <c r="C136" s="93" t="s">
        <v>14</v>
      </c>
      <c r="D136" s="66" t="s">
        <v>1144</v>
      </c>
      <c r="E136" s="43" t="s">
        <v>1145</v>
      </c>
      <c r="F136" s="43" t="s">
        <v>135</v>
      </c>
      <c r="G136" s="43" t="s">
        <v>806</v>
      </c>
      <c r="H136" s="43" t="s">
        <v>801</v>
      </c>
      <c r="I136" s="142"/>
      <c r="J136" s="67">
        <v>26.6</v>
      </c>
      <c r="K136" s="142">
        <v>1710.73</v>
      </c>
      <c r="L136" s="142"/>
      <c r="M136" s="142"/>
      <c r="N136" s="142"/>
      <c r="O136" s="93"/>
      <c r="P136" s="93"/>
      <c r="Q136" s="142"/>
      <c r="R136" s="142">
        <v>12.27</v>
      </c>
      <c r="S136" s="142"/>
      <c r="T136" s="142" t="s">
        <v>777</v>
      </c>
      <c r="U136" s="142" t="s">
        <v>712</v>
      </c>
    </row>
    <row r="137" spans="1:21" ht="105">
      <c r="A137" s="93">
        <v>7</v>
      </c>
      <c r="B137" s="103" t="s">
        <v>445</v>
      </c>
      <c r="C137" s="93" t="s">
        <v>14</v>
      </c>
      <c r="D137" s="66" t="s">
        <v>1146</v>
      </c>
      <c r="E137" s="43" t="s">
        <v>1147</v>
      </c>
      <c r="F137" s="43" t="s">
        <v>138</v>
      </c>
      <c r="G137" s="43" t="s">
        <v>806</v>
      </c>
      <c r="H137" s="43" t="s">
        <v>807</v>
      </c>
      <c r="I137" s="142" t="s">
        <v>969</v>
      </c>
      <c r="J137" s="67">
        <v>13.9</v>
      </c>
      <c r="K137" s="142">
        <v>884.98</v>
      </c>
      <c r="L137" s="142" t="s">
        <v>1088</v>
      </c>
      <c r="M137" s="142" t="s">
        <v>1148</v>
      </c>
      <c r="N137" s="142"/>
      <c r="O137" s="93"/>
      <c r="P137" s="93"/>
      <c r="Q137" s="142">
        <v>1024.51</v>
      </c>
      <c r="R137" s="142">
        <v>436.21</v>
      </c>
      <c r="S137" s="142"/>
      <c r="T137" s="142" t="s">
        <v>400</v>
      </c>
      <c r="U137" s="142" t="s">
        <v>451</v>
      </c>
    </row>
    <row r="138" spans="1:21" ht="66">
      <c r="A138" s="93">
        <v>19</v>
      </c>
      <c r="B138" s="103" t="s">
        <v>462</v>
      </c>
      <c r="C138" s="93" t="s">
        <v>14</v>
      </c>
      <c r="D138" s="66" t="s">
        <v>1149</v>
      </c>
      <c r="E138" s="43" t="s">
        <v>986</v>
      </c>
      <c r="F138" s="43" t="s">
        <v>159</v>
      </c>
      <c r="G138" s="43" t="s">
        <v>791</v>
      </c>
      <c r="H138" s="43" t="s">
        <v>792</v>
      </c>
      <c r="I138" s="142"/>
      <c r="J138" s="67">
        <v>21.6</v>
      </c>
      <c r="K138" s="142">
        <v>1187.44</v>
      </c>
      <c r="L138" s="142" t="s">
        <v>1150</v>
      </c>
      <c r="M138" s="142" t="s">
        <v>1151</v>
      </c>
      <c r="N138" s="142"/>
      <c r="O138" s="93"/>
      <c r="P138" s="93"/>
      <c r="Q138" s="142">
        <v>1184.37</v>
      </c>
      <c r="R138" s="142"/>
      <c r="S138" s="142"/>
      <c r="T138" s="142" t="s">
        <v>400</v>
      </c>
      <c r="U138" s="142" t="s">
        <v>451</v>
      </c>
    </row>
    <row r="139" spans="1:21" ht="66">
      <c r="A139" s="93">
        <v>29</v>
      </c>
      <c r="B139" s="103" t="s">
        <v>462</v>
      </c>
      <c r="C139" s="93" t="s">
        <v>14</v>
      </c>
      <c r="D139" s="66" t="s">
        <v>1152</v>
      </c>
      <c r="E139" s="43" t="s">
        <v>992</v>
      </c>
      <c r="F139" s="43" t="s">
        <v>159</v>
      </c>
      <c r="G139" s="43" t="s">
        <v>800</v>
      </c>
      <c r="H139" s="113" t="s">
        <v>801</v>
      </c>
      <c r="I139" s="142" t="s">
        <v>1153</v>
      </c>
      <c r="J139" s="67">
        <v>15.77</v>
      </c>
      <c r="K139" s="142">
        <v>794.47</v>
      </c>
      <c r="L139" s="142" t="s">
        <v>959</v>
      </c>
      <c r="M139" s="142" t="s">
        <v>1154</v>
      </c>
      <c r="N139" s="142"/>
      <c r="O139" s="93"/>
      <c r="P139" s="93"/>
      <c r="Q139" s="142">
        <v>871.72</v>
      </c>
      <c r="R139" s="142">
        <v>361.89</v>
      </c>
      <c r="S139" s="142">
        <v>1.75</v>
      </c>
      <c r="T139" s="142" t="s">
        <v>400</v>
      </c>
      <c r="U139" s="142" t="s">
        <v>451</v>
      </c>
    </row>
    <row r="140" spans="1:21" ht="66">
      <c r="A140" s="93">
        <v>30</v>
      </c>
      <c r="B140" s="103" t="s">
        <v>462</v>
      </c>
      <c r="C140" s="93" t="s">
        <v>14</v>
      </c>
      <c r="D140" s="124" t="s">
        <v>1155</v>
      </c>
      <c r="E140" s="43" t="s">
        <v>997</v>
      </c>
      <c r="F140" s="43" t="s">
        <v>159</v>
      </c>
      <c r="G140" s="43" t="s">
        <v>800</v>
      </c>
      <c r="H140" s="113" t="s">
        <v>801</v>
      </c>
      <c r="I140" s="142" t="s">
        <v>1040</v>
      </c>
      <c r="J140" s="67">
        <v>14.58</v>
      </c>
      <c r="K140" s="142">
        <v>813.43</v>
      </c>
      <c r="L140" s="142" t="s">
        <v>1088</v>
      </c>
      <c r="M140" s="142" t="s">
        <v>1148</v>
      </c>
      <c r="N140" s="142"/>
      <c r="O140" s="93"/>
      <c r="P140" s="93"/>
      <c r="Q140" s="142">
        <v>844.55</v>
      </c>
      <c r="R140" s="70">
        <v>286.76</v>
      </c>
      <c r="S140" s="142">
        <v>3</v>
      </c>
      <c r="T140" s="142" t="s">
        <v>400</v>
      </c>
      <c r="U140" s="142" t="s">
        <v>451</v>
      </c>
    </row>
    <row r="141" spans="1:21" ht="48">
      <c r="A141" s="93">
        <v>1</v>
      </c>
      <c r="B141" s="103" t="s">
        <v>279</v>
      </c>
      <c r="C141" s="93" t="s">
        <v>15</v>
      </c>
      <c r="D141" s="37" t="s">
        <v>1246</v>
      </c>
      <c r="E141" s="113" t="s">
        <v>1164</v>
      </c>
      <c r="F141" s="103" t="s">
        <v>135</v>
      </c>
      <c r="G141" s="103" t="s">
        <v>1158</v>
      </c>
      <c r="H141" s="104" t="s">
        <v>1158</v>
      </c>
      <c r="I141" s="103" t="s">
        <v>598</v>
      </c>
      <c r="J141" s="104">
        <v>9</v>
      </c>
      <c r="K141" s="104">
        <v>362.1</v>
      </c>
      <c r="L141" s="103" t="s">
        <v>1237</v>
      </c>
      <c r="M141" s="103" t="s">
        <v>1247</v>
      </c>
      <c r="N141" s="103"/>
      <c r="O141" s="104">
        <v>250.61</v>
      </c>
      <c r="P141" s="104"/>
      <c r="Q141" s="104">
        <f>SUM(O141:P141)</f>
        <v>250.61</v>
      </c>
      <c r="R141" s="104">
        <v>240.44</v>
      </c>
      <c r="S141" s="104">
        <v>9</v>
      </c>
      <c r="T141" s="105" t="s">
        <v>284</v>
      </c>
      <c r="U141" s="105" t="s">
        <v>143</v>
      </c>
    </row>
    <row r="142" spans="1:21" ht="48">
      <c r="A142" s="93">
        <v>1</v>
      </c>
      <c r="B142" s="103" t="s">
        <v>279</v>
      </c>
      <c r="C142" s="93" t="s">
        <v>15</v>
      </c>
      <c r="D142" s="71" t="s">
        <v>1251</v>
      </c>
      <c r="E142" s="113" t="s">
        <v>1174</v>
      </c>
      <c r="F142" s="103" t="s">
        <v>135</v>
      </c>
      <c r="G142" s="103" t="s">
        <v>15</v>
      </c>
      <c r="H142" s="103" t="s">
        <v>15</v>
      </c>
      <c r="I142" s="103" t="s">
        <v>1252</v>
      </c>
      <c r="J142" s="104">
        <v>12</v>
      </c>
      <c r="K142" s="104">
        <v>424.95</v>
      </c>
      <c r="L142" s="103" t="s">
        <v>1253</v>
      </c>
      <c r="M142" s="103" t="s">
        <v>1254</v>
      </c>
      <c r="N142" s="103"/>
      <c r="O142" s="104">
        <v>355.63</v>
      </c>
      <c r="P142" s="104"/>
      <c r="Q142" s="104">
        <f>SUM(O142:P142)</f>
        <v>355.63</v>
      </c>
      <c r="R142" s="104">
        <v>326.72</v>
      </c>
      <c r="S142" s="104">
        <v>11.85</v>
      </c>
      <c r="T142" s="105" t="s">
        <v>284</v>
      </c>
      <c r="U142" s="105" t="s">
        <v>143</v>
      </c>
    </row>
    <row r="143" spans="1:21" ht="46.5">
      <c r="A143" s="93">
        <v>2</v>
      </c>
      <c r="B143" s="103" t="s">
        <v>279</v>
      </c>
      <c r="C143" s="93" t="s">
        <v>15</v>
      </c>
      <c r="D143" s="37" t="s">
        <v>1259</v>
      </c>
      <c r="E143" s="113" t="s">
        <v>1260</v>
      </c>
      <c r="F143" s="103" t="s">
        <v>135</v>
      </c>
      <c r="G143" s="103" t="s">
        <v>15</v>
      </c>
      <c r="H143" s="103" t="s">
        <v>15</v>
      </c>
      <c r="I143" s="103" t="s">
        <v>1261</v>
      </c>
      <c r="J143" s="116">
        <v>5.25</v>
      </c>
      <c r="K143" s="104">
        <v>220.62</v>
      </c>
      <c r="L143" s="103" t="s">
        <v>1262</v>
      </c>
      <c r="M143" s="103" t="s">
        <v>1263</v>
      </c>
      <c r="N143" s="103"/>
      <c r="O143" s="104">
        <v>120.92</v>
      </c>
      <c r="P143" s="104"/>
      <c r="Q143" s="104">
        <f>SUM(O143:P143)</f>
        <v>120.92</v>
      </c>
      <c r="R143" s="104">
        <v>74.17</v>
      </c>
      <c r="S143" s="104">
        <v>3</v>
      </c>
      <c r="T143" s="105" t="s">
        <v>284</v>
      </c>
      <c r="U143" s="105" t="s">
        <v>143</v>
      </c>
    </row>
    <row r="144" spans="1:21" ht="46.5">
      <c r="A144" s="93">
        <v>1</v>
      </c>
      <c r="B144" s="103" t="s">
        <v>279</v>
      </c>
      <c r="C144" s="93" t="s">
        <v>15</v>
      </c>
      <c r="D144" s="37" t="s">
        <v>1264</v>
      </c>
      <c r="E144" s="113" t="s">
        <v>1265</v>
      </c>
      <c r="F144" s="103" t="s">
        <v>135</v>
      </c>
      <c r="G144" s="103" t="s">
        <v>15</v>
      </c>
      <c r="H144" s="103" t="s">
        <v>15</v>
      </c>
      <c r="I144" s="103" t="s">
        <v>1266</v>
      </c>
      <c r="J144" s="116">
        <v>15</v>
      </c>
      <c r="K144" s="104">
        <v>473.99</v>
      </c>
      <c r="L144" s="103" t="s">
        <v>1267</v>
      </c>
      <c r="M144" s="103" t="s">
        <v>1268</v>
      </c>
      <c r="N144" s="103"/>
      <c r="O144" s="104">
        <v>473.99</v>
      </c>
      <c r="P144" s="104"/>
      <c r="Q144" s="104">
        <f>SUM(O144:P144)</f>
        <v>473.99</v>
      </c>
      <c r="R144" s="104">
        <v>75.67</v>
      </c>
      <c r="S144" s="104"/>
      <c r="T144" s="105" t="s">
        <v>284</v>
      </c>
      <c r="U144" s="105" t="s">
        <v>1269</v>
      </c>
    </row>
    <row r="145" spans="1:21" ht="144.75">
      <c r="A145" s="93">
        <v>3</v>
      </c>
      <c r="B145" s="103" t="s">
        <v>389</v>
      </c>
      <c r="C145" s="93" t="s">
        <v>15</v>
      </c>
      <c r="D145" s="118" t="s">
        <v>1270</v>
      </c>
      <c r="E145" s="128" t="s">
        <v>1157</v>
      </c>
      <c r="F145" s="128" t="s">
        <v>175</v>
      </c>
      <c r="G145" s="128" t="s">
        <v>15</v>
      </c>
      <c r="H145" s="128" t="s">
        <v>15</v>
      </c>
      <c r="I145" s="121" t="s">
        <v>1271</v>
      </c>
      <c r="J145" s="158" t="s">
        <v>141</v>
      </c>
      <c r="K145" s="121">
        <v>311.9</v>
      </c>
      <c r="L145" s="121" t="s">
        <v>1272</v>
      </c>
      <c r="M145" s="121" t="s">
        <v>1273</v>
      </c>
      <c r="N145" s="134"/>
      <c r="O145" s="121">
        <v>311.39</v>
      </c>
      <c r="P145" s="121"/>
      <c r="Q145" s="158">
        <v>311.39</v>
      </c>
      <c r="R145" s="121">
        <f>82.15+58.05</f>
        <v>140.2</v>
      </c>
      <c r="S145" s="121"/>
      <c r="T145" s="122" t="s">
        <v>284</v>
      </c>
      <c r="U145" s="122" t="s">
        <v>261</v>
      </c>
    </row>
    <row r="146" spans="1:21" ht="118.5">
      <c r="A146" s="93">
        <v>2</v>
      </c>
      <c r="B146" s="103" t="s">
        <v>395</v>
      </c>
      <c r="C146" s="93" t="s">
        <v>15</v>
      </c>
      <c r="D146" s="130" t="s">
        <v>1274</v>
      </c>
      <c r="E146" s="200" t="s">
        <v>1157</v>
      </c>
      <c r="F146" s="146" t="s">
        <v>175</v>
      </c>
      <c r="G146" s="129" t="s">
        <v>1158</v>
      </c>
      <c r="H146" s="133" t="s">
        <v>1158</v>
      </c>
      <c r="I146" s="201" t="s">
        <v>718</v>
      </c>
      <c r="J146" s="135" t="s">
        <v>141</v>
      </c>
      <c r="K146" s="131">
        <v>107.58</v>
      </c>
      <c r="L146" s="202" t="s">
        <v>392</v>
      </c>
      <c r="M146" s="202" t="s">
        <v>393</v>
      </c>
      <c r="N146" s="131"/>
      <c r="O146" s="93"/>
      <c r="P146" s="93"/>
      <c r="Q146" s="201">
        <v>283.55</v>
      </c>
      <c r="R146" s="202">
        <f>14+1.6+8+155.42</f>
        <v>179.01999999999998</v>
      </c>
      <c r="S146" s="133"/>
      <c r="T146" s="131" t="s">
        <v>400</v>
      </c>
      <c r="U146" s="93"/>
    </row>
    <row r="147" spans="1:21" ht="118.5">
      <c r="A147" s="93">
        <v>3</v>
      </c>
      <c r="B147" s="103" t="s">
        <v>395</v>
      </c>
      <c r="C147" s="93" t="s">
        <v>15</v>
      </c>
      <c r="D147" s="130" t="s">
        <v>1275</v>
      </c>
      <c r="E147" s="200"/>
      <c r="F147" s="146" t="s">
        <v>175</v>
      </c>
      <c r="G147" s="146" t="s">
        <v>1158</v>
      </c>
      <c r="H147" s="133" t="s">
        <v>1158</v>
      </c>
      <c r="I147" s="201"/>
      <c r="J147" s="135" t="s">
        <v>141</v>
      </c>
      <c r="K147" s="131">
        <v>152.33</v>
      </c>
      <c r="L147" s="203"/>
      <c r="M147" s="203"/>
      <c r="N147" s="131"/>
      <c r="O147" s="93"/>
      <c r="P147" s="93"/>
      <c r="Q147" s="201"/>
      <c r="R147" s="203"/>
      <c r="S147" s="131"/>
      <c r="T147" s="131" t="s">
        <v>400</v>
      </c>
      <c r="U147" s="93"/>
    </row>
    <row r="148" spans="1:21" ht="78.75">
      <c r="A148" s="93">
        <v>4</v>
      </c>
      <c r="B148" s="103" t="s">
        <v>395</v>
      </c>
      <c r="C148" s="93" t="s">
        <v>15</v>
      </c>
      <c r="D148" s="130" t="s">
        <v>1276</v>
      </c>
      <c r="E148" s="146" t="s">
        <v>1160</v>
      </c>
      <c r="F148" s="146" t="s">
        <v>159</v>
      </c>
      <c r="G148" s="146" t="s">
        <v>1158</v>
      </c>
      <c r="H148" s="133" t="s">
        <v>1158</v>
      </c>
      <c r="I148" s="131" t="s">
        <v>379</v>
      </c>
      <c r="J148" s="135">
        <v>10.3</v>
      </c>
      <c r="K148" s="131">
        <v>352.54</v>
      </c>
      <c r="L148" s="131" t="s">
        <v>278</v>
      </c>
      <c r="M148" s="131" t="s">
        <v>685</v>
      </c>
      <c r="N148" s="131"/>
      <c r="O148" s="93"/>
      <c r="P148" s="93"/>
      <c r="Q148" s="131">
        <v>366.79</v>
      </c>
      <c r="R148" s="131">
        <v>239.05</v>
      </c>
      <c r="S148" s="131">
        <v>6.5</v>
      </c>
      <c r="T148" s="131" t="s">
        <v>400</v>
      </c>
      <c r="U148" s="93"/>
    </row>
    <row r="149" spans="1:21" ht="66">
      <c r="A149" s="93">
        <v>5</v>
      </c>
      <c r="B149" s="103" t="s">
        <v>395</v>
      </c>
      <c r="C149" s="93" t="s">
        <v>15</v>
      </c>
      <c r="D149" s="130" t="s">
        <v>1280</v>
      </c>
      <c r="E149" s="146" t="s">
        <v>1164</v>
      </c>
      <c r="F149" s="146" t="s">
        <v>159</v>
      </c>
      <c r="G149" s="146" t="s">
        <v>1158</v>
      </c>
      <c r="H149" s="133" t="s">
        <v>1158</v>
      </c>
      <c r="I149" s="131" t="s">
        <v>315</v>
      </c>
      <c r="J149" s="135">
        <v>17</v>
      </c>
      <c r="K149" s="131">
        <v>574.14</v>
      </c>
      <c r="L149" s="131" t="s">
        <v>355</v>
      </c>
      <c r="M149" s="131" t="s">
        <v>1281</v>
      </c>
      <c r="N149" s="131"/>
      <c r="O149" s="93"/>
      <c r="P149" s="93"/>
      <c r="Q149" s="131">
        <v>586.58</v>
      </c>
      <c r="R149" s="131">
        <f>27.14+457.21</f>
        <v>484.34999999999997</v>
      </c>
      <c r="S149" s="131">
        <v>17</v>
      </c>
      <c r="T149" s="131" t="s">
        <v>400</v>
      </c>
      <c r="U149" s="93"/>
    </row>
    <row r="150" spans="1:21" ht="66">
      <c r="A150" s="93">
        <v>6</v>
      </c>
      <c r="B150" s="103" t="s">
        <v>395</v>
      </c>
      <c r="C150" s="93" t="s">
        <v>15</v>
      </c>
      <c r="D150" s="130" t="s">
        <v>1282</v>
      </c>
      <c r="E150" s="146" t="s">
        <v>1171</v>
      </c>
      <c r="F150" s="146" t="s">
        <v>159</v>
      </c>
      <c r="G150" s="146" t="s">
        <v>1158</v>
      </c>
      <c r="H150" s="133" t="s">
        <v>1158</v>
      </c>
      <c r="I150" s="131" t="s">
        <v>1050</v>
      </c>
      <c r="J150" s="135">
        <v>5.64</v>
      </c>
      <c r="K150" s="131">
        <v>224.7</v>
      </c>
      <c r="L150" s="131" t="s">
        <v>1283</v>
      </c>
      <c r="M150" s="131" t="s">
        <v>1284</v>
      </c>
      <c r="N150" s="131"/>
      <c r="O150" s="93"/>
      <c r="P150" s="93"/>
      <c r="Q150" s="131">
        <v>225.46</v>
      </c>
      <c r="R150" s="131">
        <f>15.4+150.83</f>
        <v>166.23000000000002</v>
      </c>
      <c r="S150" s="131">
        <v>0.2</v>
      </c>
      <c r="T150" s="131" t="s">
        <v>400</v>
      </c>
      <c r="U150" s="93"/>
    </row>
    <row r="151" spans="1:21" ht="78.75">
      <c r="A151" s="93">
        <v>7</v>
      </c>
      <c r="B151" s="103" t="s">
        <v>395</v>
      </c>
      <c r="C151" s="93" t="s">
        <v>15</v>
      </c>
      <c r="D151" s="136" t="s">
        <v>1285</v>
      </c>
      <c r="E151" s="146" t="s">
        <v>1215</v>
      </c>
      <c r="F151" s="146" t="s">
        <v>159</v>
      </c>
      <c r="G151" s="146" t="s">
        <v>1158</v>
      </c>
      <c r="H151" s="133" t="s">
        <v>1158</v>
      </c>
      <c r="I151" s="131" t="s">
        <v>315</v>
      </c>
      <c r="J151" s="131">
        <v>19</v>
      </c>
      <c r="K151" s="131">
        <v>678.06</v>
      </c>
      <c r="L151" s="131" t="s">
        <v>355</v>
      </c>
      <c r="M151" s="131" t="s">
        <v>1281</v>
      </c>
      <c r="N151" s="131"/>
      <c r="O151" s="93"/>
      <c r="P151" s="93"/>
      <c r="Q151" s="131">
        <v>653.56</v>
      </c>
      <c r="R151" s="131">
        <f>30+454.15</f>
        <v>484.15</v>
      </c>
      <c r="S151" s="131">
        <v>19</v>
      </c>
      <c r="T151" s="131" t="s">
        <v>400</v>
      </c>
      <c r="U151" s="93"/>
    </row>
    <row r="152" spans="1:21" ht="78.75">
      <c r="A152" s="93">
        <v>8</v>
      </c>
      <c r="B152" s="103" t="s">
        <v>395</v>
      </c>
      <c r="C152" s="93" t="s">
        <v>15</v>
      </c>
      <c r="D152" s="136" t="s">
        <v>1286</v>
      </c>
      <c r="E152" s="146" t="s">
        <v>1218</v>
      </c>
      <c r="F152" s="146" t="s">
        <v>159</v>
      </c>
      <c r="G152" s="146" t="s">
        <v>1158</v>
      </c>
      <c r="H152" s="133" t="s">
        <v>1158</v>
      </c>
      <c r="I152" s="131" t="s">
        <v>315</v>
      </c>
      <c r="J152" s="131">
        <v>11.75</v>
      </c>
      <c r="K152" s="131">
        <v>518.86</v>
      </c>
      <c r="L152" s="131" t="s">
        <v>1283</v>
      </c>
      <c r="M152" s="131" t="s">
        <v>1287</v>
      </c>
      <c r="N152" s="131"/>
      <c r="O152" s="93"/>
      <c r="P152" s="93"/>
      <c r="Q152" s="131">
        <v>513</v>
      </c>
      <c r="R152" s="131">
        <f>23.75+338.44</f>
        <v>362.19</v>
      </c>
      <c r="S152" s="131">
        <v>7.5</v>
      </c>
      <c r="T152" s="131" t="s">
        <v>400</v>
      </c>
      <c r="U152" s="93"/>
    </row>
    <row r="153" spans="1:21" ht="78.75">
      <c r="A153" s="93">
        <v>9</v>
      </c>
      <c r="B153" s="103" t="s">
        <v>395</v>
      </c>
      <c r="C153" s="93" t="s">
        <v>15</v>
      </c>
      <c r="D153" s="136" t="s">
        <v>1292</v>
      </c>
      <c r="E153" s="146" t="s">
        <v>1265</v>
      </c>
      <c r="F153" s="146" t="s">
        <v>159</v>
      </c>
      <c r="G153" s="146" t="s">
        <v>1158</v>
      </c>
      <c r="H153" s="133" t="s">
        <v>1158</v>
      </c>
      <c r="I153" s="131" t="s">
        <v>388</v>
      </c>
      <c r="J153" s="131">
        <v>16</v>
      </c>
      <c r="K153" s="131">
        <v>543.15</v>
      </c>
      <c r="L153" s="131" t="s">
        <v>392</v>
      </c>
      <c r="M153" s="131" t="s">
        <v>1293</v>
      </c>
      <c r="N153" s="131"/>
      <c r="O153" s="93"/>
      <c r="P153" s="93"/>
      <c r="Q153" s="131">
        <v>542.86</v>
      </c>
      <c r="R153" s="131">
        <v>408.84</v>
      </c>
      <c r="S153" s="131">
        <v>15.5</v>
      </c>
      <c r="T153" s="131" t="s">
        <v>400</v>
      </c>
      <c r="U153" s="93"/>
    </row>
    <row r="154" spans="1:21" ht="105">
      <c r="A154" s="93">
        <v>4</v>
      </c>
      <c r="B154" s="103" t="s">
        <v>415</v>
      </c>
      <c r="C154" s="93" t="s">
        <v>15</v>
      </c>
      <c r="D154" s="64" t="s">
        <v>1294</v>
      </c>
      <c r="E154" s="146" t="s">
        <v>1157</v>
      </c>
      <c r="F154" s="146" t="s">
        <v>159</v>
      </c>
      <c r="G154" s="146" t="s">
        <v>15</v>
      </c>
      <c r="H154" s="147" t="s">
        <v>15</v>
      </c>
      <c r="I154" s="147"/>
      <c r="J154" s="131">
        <v>8.5</v>
      </c>
      <c r="K154" s="131">
        <v>300.66</v>
      </c>
      <c r="L154" s="63" t="s">
        <v>456</v>
      </c>
      <c r="M154" s="63" t="s">
        <v>1295</v>
      </c>
      <c r="N154" s="63"/>
      <c r="O154" s="93"/>
      <c r="P154" s="93"/>
      <c r="Q154" s="98"/>
      <c r="R154" s="98">
        <v>0.88</v>
      </c>
      <c r="S154" s="98"/>
      <c r="T154" s="63" t="s">
        <v>400</v>
      </c>
      <c r="U154" s="63" t="s">
        <v>141</v>
      </c>
    </row>
    <row r="155" spans="1:21" ht="66">
      <c r="A155" s="93">
        <v>10</v>
      </c>
      <c r="B155" s="103" t="s">
        <v>415</v>
      </c>
      <c r="C155" s="93" t="s">
        <v>15</v>
      </c>
      <c r="D155" s="64" t="s">
        <v>1296</v>
      </c>
      <c r="E155" s="146" t="s">
        <v>1160</v>
      </c>
      <c r="F155" s="146" t="s">
        <v>159</v>
      </c>
      <c r="G155" s="146" t="s">
        <v>1158</v>
      </c>
      <c r="H155" s="147" t="s">
        <v>15</v>
      </c>
      <c r="I155" s="147"/>
      <c r="J155" s="131">
        <v>9.5</v>
      </c>
      <c r="K155" s="131">
        <v>376.59</v>
      </c>
      <c r="L155" s="63" t="s">
        <v>1267</v>
      </c>
      <c r="M155" s="63" t="s">
        <v>1268</v>
      </c>
      <c r="N155" s="63"/>
      <c r="O155" s="93"/>
      <c r="P155" s="93"/>
      <c r="Q155" s="98">
        <v>645.1</v>
      </c>
      <c r="R155" s="98">
        <v>54.97</v>
      </c>
      <c r="S155" s="98"/>
      <c r="T155" s="63" t="s">
        <v>400</v>
      </c>
      <c r="U155" s="63" t="s">
        <v>141</v>
      </c>
    </row>
    <row r="156" spans="1:21" ht="78.75">
      <c r="A156" s="93">
        <v>11</v>
      </c>
      <c r="B156" s="103" t="s">
        <v>415</v>
      </c>
      <c r="C156" s="93" t="s">
        <v>15</v>
      </c>
      <c r="D156" s="64" t="s">
        <v>1297</v>
      </c>
      <c r="E156" s="146" t="s">
        <v>1162</v>
      </c>
      <c r="F156" s="146" t="s">
        <v>159</v>
      </c>
      <c r="G156" s="146" t="s">
        <v>1158</v>
      </c>
      <c r="H156" s="147" t="s">
        <v>15</v>
      </c>
      <c r="I156" s="147" t="s">
        <v>1298</v>
      </c>
      <c r="J156" s="131">
        <v>4.65</v>
      </c>
      <c r="K156" s="131">
        <v>188.89</v>
      </c>
      <c r="L156" s="63" t="s">
        <v>1299</v>
      </c>
      <c r="M156" s="63" t="s">
        <v>1300</v>
      </c>
      <c r="N156" s="63"/>
      <c r="O156" s="93"/>
      <c r="P156" s="93"/>
      <c r="Q156" s="98">
        <v>199.89</v>
      </c>
      <c r="R156" s="98">
        <v>110.33</v>
      </c>
      <c r="S156" s="98">
        <v>3.65</v>
      </c>
      <c r="T156" s="63" t="s">
        <v>400</v>
      </c>
      <c r="U156" s="63" t="s">
        <v>141</v>
      </c>
    </row>
    <row r="157" spans="1:21" ht="92.25">
      <c r="A157" s="93">
        <v>12</v>
      </c>
      <c r="B157" s="103" t="s">
        <v>415</v>
      </c>
      <c r="C157" s="93" t="s">
        <v>15</v>
      </c>
      <c r="D157" s="64" t="s">
        <v>1301</v>
      </c>
      <c r="E157" s="146" t="s">
        <v>1164</v>
      </c>
      <c r="F157" s="146" t="s">
        <v>159</v>
      </c>
      <c r="G157" s="146" t="s">
        <v>1158</v>
      </c>
      <c r="H157" s="147" t="s">
        <v>15</v>
      </c>
      <c r="I157" s="147" t="s">
        <v>1302</v>
      </c>
      <c r="J157" s="131">
        <v>7</v>
      </c>
      <c r="K157" s="131">
        <v>274.2</v>
      </c>
      <c r="L157" s="63" t="s">
        <v>691</v>
      </c>
      <c r="M157" s="63" t="s">
        <v>1303</v>
      </c>
      <c r="N157" s="63"/>
      <c r="O157" s="93"/>
      <c r="P157" s="93"/>
      <c r="Q157" s="98">
        <v>292.3</v>
      </c>
      <c r="R157" s="98">
        <v>189.19</v>
      </c>
      <c r="S157" s="98">
        <v>6</v>
      </c>
      <c r="T157" s="63" t="s">
        <v>400</v>
      </c>
      <c r="U157" s="63" t="s">
        <v>141</v>
      </c>
    </row>
    <row r="158" spans="1:21" ht="92.25">
      <c r="A158" s="93">
        <v>5</v>
      </c>
      <c r="B158" s="103" t="s">
        <v>415</v>
      </c>
      <c r="C158" s="93" t="s">
        <v>15</v>
      </c>
      <c r="D158" s="64" t="s">
        <v>1306</v>
      </c>
      <c r="E158" s="146" t="s">
        <v>1174</v>
      </c>
      <c r="F158" s="146" t="s">
        <v>159</v>
      </c>
      <c r="G158" s="146" t="s">
        <v>15</v>
      </c>
      <c r="H158" s="147" t="s">
        <v>15</v>
      </c>
      <c r="I158" s="147" t="s">
        <v>1307</v>
      </c>
      <c r="J158" s="131">
        <v>7.7</v>
      </c>
      <c r="K158" s="131">
        <v>245.1</v>
      </c>
      <c r="L158" s="63" t="s">
        <v>425</v>
      </c>
      <c r="M158" s="63" t="s">
        <v>1308</v>
      </c>
      <c r="N158" s="63"/>
      <c r="O158" s="93"/>
      <c r="P158" s="93"/>
      <c r="Q158" s="98"/>
      <c r="R158" s="98">
        <v>0.72</v>
      </c>
      <c r="S158" s="98"/>
      <c r="T158" s="63" t="s">
        <v>400</v>
      </c>
      <c r="U158" s="63" t="s">
        <v>141</v>
      </c>
    </row>
    <row r="159" spans="1:21" ht="78.75">
      <c r="A159" s="93">
        <v>13</v>
      </c>
      <c r="B159" s="103" t="s">
        <v>415</v>
      </c>
      <c r="C159" s="93" t="s">
        <v>15</v>
      </c>
      <c r="D159" s="64" t="s">
        <v>1309</v>
      </c>
      <c r="E159" s="146" t="s">
        <v>1215</v>
      </c>
      <c r="F159" s="146" t="s">
        <v>159</v>
      </c>
      <c r="G159" s="146" t="s">
        <v>1158</v>
      </c>
      <c r="H159" s="147" t="s">
        <v>15</v>
      </c>
      <c r="I159" s="147" t="s">
        <v>1310</v>
      </c>
      <c r="J159" s="131">
        <v>3</v>
      </c>
      <c r="K159" s="131">
        <v>111.13</v>
      </c>
      <c r="L159" s="63" t="s">
        <v>1311</v>
      </c>
      <c r="M159" s="63" t="s">
        <v>1267</v>
      </c>
      <c r="N159" s="63"/>
      <c r="O159" s="93"/>
      <c r="P159" s="93"/>
      <c r="Q159" s="98">
        <v>121.13</v>
      </c>
      <c r="R159" s="98">
        <v>83.33</v>
      </c>
      <c r="S159" s="98">
        <v>3</v>
      </c>
      <c r="T159" s="63" t="s">
        <v>400</v>
      </c>
      <c r="U159" s="63" t="s">
        <v>141</v>
      </c>
    </row>
    <row r="160" spans="1:21" ht="69">
      <c r="A160" s="93">
        <v>1</v>
      </c>
      <c r="B160" s="103" t="s">
        <v>221</v>
      </c>
      <c r="C160" s="93" t="s">
        <v>16</v>
      </c>
      <c r="D160" s="36" t="s">
        <v>1363</v>
      </c>
      <c r="E160" s="113" t="s">
        <v>1319</v>
      </c>
      <c r="F160" s="103" t="s">
        <v>135</v>
      </c>
      <c r="G160" s="52" t="s">
        <v>1314</v>
      </c>
      <c r="H160" s="52" t="s">
        <v>1315</v>
      </c>
      <c r="I160" s="103" t="s">
        <v>1364</v>
      </c>
      <c r="J160" s="104">
        <v>23.424</v>
      </c>
      <c r="K160" s="104">
        <v>468.41</v>
      </c>
      <c r="L160" s="104" t="s">
        <v>1365</v>
      </c>
      <c r="M160" s="104" t="s">
        <v>1366</v>
      </c>
      <c r="N160" s="104" t="s">
        <v>141</v>
      </c>
      <c r="O160" s="104">
        <v>515.6</v>
      </c>
      <c r="P160" s="104"/>
      <c r="Q160" s="104">
        <f>SUM(O160:P160)</f>
        <v>515.6</v>
      </c>
      <c r="R160" s="104">
        <v>543.1</v>
      </c>
      <c r="S160" s="104">
        <v>23.3</v>
      </c>
      <c r="T160" s="105" t="s">
        <v>284</v>
      </c>
      <c r="U160" s="137" t="s">
        <v>143</v>
      </c>
    </row>
    <row r="161" spans="1:21" ht="82.5">
      <c r="A161" s="93">
        <v>1</v>
      </c>
      <c r="B161" s="103" t="s">
        <v>221</v>
      </c>
      <c r="C161" s="93" t="s">
        <v>16</v>
      </c>
      <c r="D161" s="36" t="s">
        <v>1400</v>
      </c>
      <c r="E161" s="97" t="s">
        <v>1401</v>
      </c>
      <c r="F161" s="103" t="s">
        <v>135</v>
      </c>
      <c r="G161" s="52" t="s">
        <v>1314</v>
      </c>
      <c r="H161" s="52" t="s">
        <v>1315</v>
      </c>
      <c r="I161" s="103" t="s">
        <v>1402</v>
      </c>
      <c r="J161" s="104">
        <v>10.39</v>
      </c>
      <c r="K161" s="104">
        <v>177.15</v>
      </c>
      <c r="L161" s="104" t="s">
        <v>862</v>
      </c>
      <c r="M161" s="104" t="s">
        <v>879</v>
      </c>
      <c r="N161" s="104" t="s">
        <v>141</v>
      </c>
      <c r="O161" s="104">
        <v>165.83</v>
      </c>
      <c r="P161" s="104"/>
      <c r="Q161" s="104">
        <f>SUM(O161:P161)</f>
        <v>165.83</v>
      </c>
      <c r="R161" s="104">
        <v>126.61</v>
      </c>
      <c r="S161" s="104">
        <v>10.25</v>
      </c>
      <c r="T161" s="140" t="s">
        <v>260</v>
      </c>
      <c r="U161" s="106" t="s">
        <v>143</v>
      </c>
    </row>
    <row r="162" spans="1:21" ht="78">
      <c r="A162" s="93">
        <v>2</v>
      </c>
      <c r="B162" s="103" t="s">
        <v>279</v>
      </c>
      <c r="C162" s="93" t="s">
        <v>16</v>
      </c>
      <c r="D162" s="37" t="s">
        <v>1420</v>
      </c>
      <c r="E162" s="113" t="s">
        <v>1313</v>
      </c>
      <c r="F162" s="103" t="s">
        <v>135</v>
      </c>
      <c r="G162" s="103" t="s">
        <v>1314</v>
      </c>
      <c r="H162" s="53" t="s">
        <v>1315</v>
      </c>
      <c r="J162" s="104">
        <v>7</v>
      </c>
      <c r="K162" s="104">
        <v>257.99</v>
      </c>
      <c r="L162" s="103"/>
      <c r="M162" s="103"/>
      <c r="N162" s="103"/>
      <c r="O162" s="104"/>
      <c r="P162" s="104"/>
      <c r="Q162" s="104"/>
      <c r="R162" s="104">
        <v>5.99</v>
      </c>
      <c r="S162" s="104"/>
      <c r="T162" s="105" t="s">
        <v>1421</v>
      </c>
      <c r="U162" s="105" t="s">
        <v>143</v>
      </c>
    </row>
    <row r="163" spans="1:21" ht="105">
      <c r="A163" s="93">
        <v>1</v>
      </c>
      <c r="B163" s="103" t="s">
        <v>395</v>
      </c>
      <c r="C163" s="93" t="s">
        <v>16</v>
      </c>
      <c r="D163" s="136" t="s">
        <v>1438</v>
      </c>
      <c r="E163" s="146" t="s">
        <v>1313</v>
      </c>
      <c r="F163" s="146" t="s">
        <v>391</v>
      </c>
      <c r="G163" s="146" t="s">
        <v>1322</v>
      </c>
      <c r="H163" s="131" t="s">
        <v>16</v>
      </c>
      <c r="I163" s="131" t="s">
        <v>933</v>
      </c>
      <c r="J163" s="131">
        <v>2.5</v>
      </c>
      <c r="K163" s="131">
        <v>175.88</v>
      </c>
      <c r="L163" s="131" t="s">
        <v>1439</v>
      </c>
      <c r="M163" s="131" t="s">
        <v>1440</v>
      </c>
      <c r="N163" s="131"/>
      <c r="O163" s="93"/>
      <c r="P163" s="93"/>
      <c r="Q163" s="131">
        <v>178.02</v>
      </c>
      <c r="R163" s="131">
        <v>74.92</v>
      </c>
      <c r="S163" s="131">
        <v>2</v>
      </c>
      <c r="T163" s="131" t="s">
        <v>400</v>
      </c>
      <c r="U163" s="93"/>
    </row>
    <row r="164" spans="1:21" ht="66">
      <c r="A164" s="93">
        <v>1</v>
      </c>
      <c r="B164" s="103" t="s">
        <v>395</v>
      </c>
      <c r="C164" s="93" t="s">
        <v>16</v>
      </c>
      <c r="D164" s="130" t="s">
        <v>1445</v>
      </c>
      <c r="E164" s="146" t="s">
        <v>1337</v>
      </c>
      <c r="F164" s="146" t="s">
        <v>159</v>
      </c>
      <c r="G164" s="146" t="s">
        <v>1320</v>
      </c>
      <c r="H164" s="131" t="s">
        <v>16</v>
      </c>
      <c r="I164" s="131" t="s">
        <v>1429</v>
      </c>
      <c r="J164" s="131">
        <v>8</v>
      </c>
      <c r="K164" s="131">
        <v>165.04</v>
      </c>
      <c r="L164" s="131" t="s">
        <v>1446</v>
      </c>
      <c r="M164" s="131" t="s">
        <v>1447</v>
      </c>
      <c r="N164" s="131"/>
      <c r="O164" s="93"/>
      <c r="P164" s="93"/>
      <c r="Q164" s="131">
        <v>156.3</v>
      </c>
      <c r="R164" s="131">
        <f>0.79+80.65</f>
        <v>81.44000000000001</v>
      </c>
      <c r="S164" s="131">
        <v>2.7</v>
      </c>
      <c r="T164" s="131" t="s">
        <v>400</v>
      </c>
      <c r="U164" s="93"/>
    </row>
    <row r="165" spans="1:21" ht="66">
      <c r="A165" s="93">
        <v>2</v>
      </c>
      <c r="B165" s="103" t="s">
        <v>395</v>
      </c>
      <c r="C165" s="93" t="s">
        <v>16</v>
      </c>
      <c r="D165" s="130" t="s">
        <v>1448</v>
      </c>
      <c r="E165" s="146" t="s">
        <v>1340</v>
      </c>
      <c r="F165" s="146" t="s">
        <v>159</v>
      </c>
      <c r="G165" s="146" t="s">
        <v>1314</v>
      </c>
      <c r="H165" s="131" t="s">
        <v>1315</v>
      </c>
      <c r="I165" s="131" t="s">
        <v>1449</v>
      </c>
      <c r="J165" s="131">
        <v>3.03</v>
      </c>
      <c r="K165" s="131">
        <v>92.93</v>
      </c>
      <c r="L165" s="131" t="s">
        <v>1450</v>
      </c>
      <c r="M165" s="131" t="s">
        <v>1451</v>
      </c>
      <c r="N165" s="131"/>
      <c r="O165" s="93"/>
      <c r="P165" s="93"/>
      <c r="Q165" s="131">
        <v>81.5</v>
      </c>
      <c r="R165" s="131">
        <v>77.38</v>
      </c>
      <c r="S165" s="131">
        <v>3.03</v>
      </c>
      <c r="T165" s="131" t="s">
        <v>400</v>
      </c>
      <c r="U165" s="93"/>
    </row>
    <row r="166" spans="1:21" ht="92.25">
      <c r="A166" s="93">
        <v>3</v>
      </c>
      <c r="B166" s="103" t="s">
        <v>395</v>
      </c>
      <c r="C166" s="93" t="s">
        <v>16</v>
      </c>
      <c r="D166" s="130" t="s">
        <v>1452</v>
      </c>
      <c r="E166" s="146" t="s">
        <v>1343</v>
      </c>
      <c r="F166" s="146" t="s">
        <v>159</v>
      </c>
      <c r="G166" s="146" t="s">
        <v>1314</v>
      </c>
      <c r="H166" s="131" t="s">
        <v>1315</v>
      </c>
      <c r="I166" s="131" t="s">
        <v>1453</v>
      </c>
      <c r="J166" s="131">
        <v>22.63</v>
      </c>
      <c r="K166" s="131">
        <v>653.31</v>
      </c>
      <c r="L166" s="131" t="s">
        <v>1454</v>
      </c>
      <c r="M166" s="131" t="s">
        <v>1455</v>
      </c>
      <c r="N166" s="131"/>
      <c r="O166" s="93"/>
      <c r="P166" s="93"/>
      <c r="Q166" s="131">
        <v>610.06</v>
      </c>
      <c r="R166" s="131">
        <v>514.63</v>
      </c>
      <c r="S166" s="131">
        <v>8</v>
      </c>
      <c r="T166" s="131" t="s">
        <v>400</v>
      </c>
      <c r="U166" s="93"/>
    </row>
    <row r="167" spans="1:21" ht="118.5">
      <c r="A167" s="93">
        <v>4</v>
      </c>
      <c r="B167" s="103" t="s">
        <v>395</v>
      </c>
      <c r="C167" s="93" t="s">
        <v>16</v>
      </c>
      <c r="D167" s="130" t="s">
        <v>1463</v>
      </c>
      <c r="E167" s="146" t="s">
        <v>1388</v>
      </c>
      <c r="F167" s="146" t="s">
        <v>159</v>
      </c>
      <c r="G167" s="146" t="s">
        <v>1314</v>
      </c>
      <c r="H167" s="131" t="s">
        <v>1315</v>
      </c>
      <c r="I167" s="131" t="s">
        <v>1449</v>
      </c>
      <c r="J167" s="131">
        <v>4.08</v>
      </c>
      <c r="K167" s="131">
        <v>135.49</v>
      </c>
      <c r="L167" s="131" t="s">
        <v>1450</v>
      </c>
      <c r="M167" s="131" t="s">
        <v>1451</v>
      </c>
      <c r="N167" s="131"/>
      <c r="O167" s="93"/>
      <c r="P167" s="93"/>
      <c r="Q167" s="131">
        <v>116.24</v>
      </c>
      <c r="R167" s="131">
        <v>95.27</v>
      </c>
      <c r="S167" s="131">
        <v>4.08</v>
      </c>
      <c r="T167" s="131" t="s">
        <v>400</v>
      </c>
      <c r="U167" s="93"/>
    </row>
    <row r="168" spans="1:21" ht="66">
      <c r="A168" s="93">
        <v>5</v>
      </c>
      <c r="B168" s="103" t="s">
        <v>395</v>
      </c>
      <c r="C168" s="93" t="s">
        <v>16</v>
      </c>
      <c r="D168" s="130" t="s">
        <v>1471</v>
      </c>
      <c r="E168" s="146" t="s">
        <v>1399</v>
      </c>
      <c r="F168" s="146" t="s">
        <v>159</v>
      </c>
      <c r="G168" s="146" t="s">
        <v>1314</v>
      </c>
      <c r="H168" s="131" t="s">
        <v>1315</v>
      </c>
      <c r="I168" s="131" t="s">
        <v>1472</v>
      </c>
      <c r="J168" s="131">
        <v>15.42</v>
      </c>
      <c r="K168" s="131">
        <v>465.6</v>
      </c>
      <c r="L168" s="131" t="s">
        <v>1279</v>
      </c>
      <c r="M168" s="131" t="s">
        <v>1473</v>
      </c>
      <c r="N168" s="131"/>
      <c r="O168" s="93"/>
      <c r="P168" s="93"/>
      <c r="Q168" s="131">
        <v>410.76</v>
      </c>
      <c r="R168" s="131">
        <v>331.45</v>
      </c>
      <c r="S168" s="131">
        <v>9.5</v>
      </c>
      <c r="T168" s="131" t="s">
        <v>400</v>
      </c>
      <c r="U168" s="93"/>
    </row>
    <row r="169" spans="1:21" ht="92.25">
      <c r="A169" s="93">
        <v>6</v>
      </c>
      <c r="B169" s="103" t="s">
        <v>395</v>
      </c>
      <c r="C169" s="93" t="s">
        <v>16</v>
      </c>
      <c r="D169" s="130" t="s">
        <v>1474</v>
      </c>
      <c r="E169" s="146" t="s">
        <v>1401</v>
      </c>
      <c r="F169" s="146" t="s">
        <v>159</v>
      </c>
      <c r="G169" s="146" t="s">
        <v>1314</v>
      </c>
      <c r="H169" s="131" t="s">
        <v>1315</v>
      </c>
      <c r="I169" s="131" t="s">
        <v>1017</v>
      </c>
      <c r="J169" s="131">
        <v>18.46</v>
      </c>
      <c r="K169" s="131">
        <v>545.03</v>
      </c>
      <c r="L169" s="131" t="s">
        <v>1475</v>
      </c>
      <c r="M169" s="131" t="s">
        <v>1476</v>
      </c>
      <c r="N169" s="131"/>
      <c r="O169" s="93"/>
      <c r="P169" s="93"/>
      <c r="Q169" s="131">
        <v>596.32</v>
      </c>
      <c r="R169" s="131">
        <v>2.95</v>
      </c>
      <c r="S169" s="131"/>
      <c r="T169" s="131" t="s">
        <v>400</v>
      </c>
      <c r="U169" s="93"/>
    </row>
    <row r="170" spans="1:21" ht="92.25">
      <c r="A170" s="93">
        <v>7</v>
      </c>
      <c r="B170" s="103" t="s">
        <v>415</v>
      </c>
      <c r="C170" s="93" t="s">
        <v>16</v>
      </c>
      <c r="D170" s="64" t="s">
        <v>1477</v>
      </c>
      <c r="E170" s="146" t="s">
        <v>1313</v>
      </c>
      <c r="F170" s="146" t="s">
        <v>159</v>
      </c>
      <c r="G170" s="146" t="s">
        <v>1314</v>
      </c>
      <c r="H170" s="147" t="s">
        <v>1315</v>
      </c>
      <c r="I170" s="147" t="s">
        <v>1465</v>
      </c>
      <c r="J170" s="131">
        <v>9</v>
      </c>
      <c r="K170" s="131">
        <v>304.08</v>
      </c>
      <c r="L170" s="63" t="s">
        <v>1478</v>
      </c>
      <c r="M170" s="63" t="s">
        <v>1479</v>
      </c>
      <c r="N170" s="63"/>
      <c r="O170" s="93"/>
      <c r="P170" s="93"/>
      <c r="Q170" s="98">
        <v>335.27</v>
      </c>
      <c r="R170" s="98">
        <v>163.11</v>
      </c>
      <c r="S170" s="98"/>
      <c r="T170" s="63" t="s">
        <v>400</v>
      </c>
      <c r="U170" s="63" t="s">
        <v>141</v>
      </c>
    </row>
    <row r="171" spans="1:21" ht="78.75">
      <c r="A171" s="93">
        <v>8</v>
      </c>
      <c r="B171" s="103" t="s">
        <v>415</v>
      </c>
      <c r="C171" s="93" t="s">
        <v>16</v>
      </c>
      <c r="D171" s="64" t="s">
        <v>1480</v>
      </c>
      <c r="E171" s="146" t="s">
        <v>1319</v>
      </c>
      <c r="F171" s="146" t="s">
        <v>159</v>
      </c>
      <c r="G171" s="146" t="s">
        <v>1314</v>
      </c>
      <c r="H171" s="147" t="s">
        <v>1315</v>
      </c>
      <c r="I171" s="147" t="s">
        <v>1481</v>
      </c>
      <c r="J171" s="131">
        <v>4.5</v>
      </c>
      <c r="K171" s="131">
        <v>158.35</v>
      </c>
      <c r="L171" s="63" t="s">
        <v>1482</v>
      </c>
      <c r="M171" s="63" t="s">
        <v>1483</v>
      </c>
      <c r="N171" s="63"/>
      <c r="O171" s="93"/>
      <c r="P171" s="93"/>
      <c r="Q171" s="98">
        <v>167.88</v>
      </c>
      <c r="R171" s="98">
        <v>113.07</v>
      </c>
      <c r="S171" s="98">
        <v>2.8</v>
      </c>
      <c r="T171" s="63" t="s">
        <v>400</v>
      </c>
      <c r="U171" s="63" t="s">
        <v>141</v>
      </c>
    </row>
    <row r="172" spans="1:21" ht="92.25">
      <c r="A172" s="93">
        <v>3</v>
      </c>
      <c r="B172" s="103" t="s">
        <v>445</v>
      </c>
      <c r="C172" s="93" t="s">
        <v>16</v>
      </c>
      <c r="D172" s="66" t="s">
        <v>1484</v>
      </c>
      <c r="E172" s="43" t="s">
        <v>1327</v>
      </c>
      <c r="F172" s="43" t="s">
        <v>135</v>
      </c>
      <c r="G172" s="43" t="s">
        <v>1314</v>
      </c>
      <c r="H172" s="43" t="s">
        <v>1315</v>
      </c>
      <c r="I172" s="142"/>
      <c r="J172" s="67">
        <v>5.317</v>
      </c>
      <c r="K172" s="70">
        <v>279.58</v>
      </c>
      <c r="L172" s="70"/>
      <c r="M172" s="70"/>
      <c r="N172" s="70"/>
      <c r="O172" s="93"/>
      <c r="P172" s="93"/>
      <c r="Q172" s="70"/>
      <c r="R172" s="70">
        <v>1.2</v>
      </c>
      <c r="S172" s="70"/>
      <c r="T172" s="142" t="s">
        <v>1485</v>
      </c>
      <c r="U172" s="142"/>
    </row>
    <row r="173" spans="1:21" ht="78.75">
      <c r="A173" s="93">
        <v>9</v>
      </c>
      <c r="B173" s="103" t="s">
        <v>445</v>
      </c>
      <c r="C173" s="93" t="s">
        <v>16</v>
      </c>
      <c r="D173" s="66" t="s">
        <v>1486</v>
      </c>
      <c r="E173" s="43" t="s">
        <v>1337</v>
      </c>
      <c r="F173" s="43" t="s">
        <v>391</v>
      </c>
      <c r="G173" s="43" t="s">
        <v>1314</v>
      </c>
      <c r="H173" s="43" t="s">
        <v>1315</v>
      </c>
      <c r="I173" s="142" t="s">
        <v>1487</v>
      </c>
      <c r="J173" s="67">
        <v>10.54</v>
      </c>
      <c r="K173" s="70">
        <v>523.84</v>
      </c>
      <c r="L173" s="70"/>
      <c r="M173" s="70"/>
      <c r="N173" s="70"/>
      <c r="O173" s="93"/>
      <c r="P173" s="93"/>
      <c r="Q173" s="70">
        <v>471.26</v>
      </c>
      <c r="R173" s="70">
        <v>168.84</v>
      </c>
      <c r="S173" s="70"/>
      <c r="T173" s="63" t="s">
        <v>400</v>
      </c>
      <c r="U173" s="142"/>
    </row>
    <row r="174" spans="1:21" ht="66">
      <c r="A174" s="93">
        <v>1</v>
      </c>
      <c r="B174" s="103" t="s">
        <v>445</v>
      </c>
      <c r="C174" s="93" t="s">
        <v>16</v>
      </c>
      <c r="D174" s="66" t="s">
        <v>1488</v>
      </c>
      <c r="E174" s="43" t="s">
        <v>1346</v>
      </c>
      <c r="F174" s="43" t="s">
        <v>135</v>
      </c>
      <c r="G174" s="43" t="s">
        <v>1314</v>
      </c>
      <c r="H174" s="43" t="s">
        <v>1315</v>
      </c>
      <c r="I174" s="142"/>
      <c r="J174" s="67">
        <v>9.825</v>
      </c>
      <c r="K174" s="142">
        <v>619.36</v>
      </c>
      <c r="L174" s="142"/>
      <c r="M174" s="142"/>
      <c r="N174" s="142"/>
      <c r="O174" s="93"/>
      <c r="P174" s="93"/>
      <c r="Q174" s="142"/>
      <c r="R174" s="142">
        <v>1.53</v>
      </c>
      <c r="S174" s="142"/>
      <c r="T174" s="142" t="s">
        <v>777</v>
      </c>
      <c r="U174" s="142" t="s">
        <v>712</v>
      </c>
    </row>
    <row r="175" spans="1:21" ht="105">
      <c r="A175" s="93">
        <v>2</v>
      </c>
      <c r="B175" s="103" t="s">
        <v>445</v>
      </c>
      <c r="C175" s="93" t="s">
        <v>16</v>
      </c>
      <c r="D175" s="66" t="s">
        <v>1489</v>
      </c>
      <c r="E175" s="43" t="s">
        <v>1396</v>
      </c>
      <c r="F175" s="43" t="s">
        <v>135</v>
      </c>
      <c r="G175" s="43" t="s">
        <v>1314</v>
      </c>
      <c r="H175" s="43" t="s">
        <v>1315</v>
      </c>
      <c r="I175" s="142"/>
      <c r="J175" s="67">
        <v>8.3</v>
      </c>
      <c r="K175" s="70">
        <v>422.73</v>
      </c>
      <c r="L175" s="70"/>
      <c r="M175" s="70"/>
      <c r="N175" s="70"/>
      <c r="O175" s="93"/>
      <c r="P175" s="93"/>
      <c r="Q175" s="70"/>
      <c r="R175" s="70">
        <v>2</v>
      </c>
      <c r="S175" s="70"/>
      <c r="T175" s="142" t="s">
        <v>777</v>
      </c>
      <c r="U175" s="142" t="s">
        <v>1108</v>
      </c>
    </row>
    <row r="176" spans="1:21" ht="92.25">
      <c r="A176" s="93">
        <v>10</v>
      </c>
      <c r="B176" s="103" t="s">
        <v>445</v>
      </c>
      <c r="C176" s="93" t="s">
        <v>16</v>
      </c>
      <c r="D176" s="66" t="s">
        <v>1490</v>
      </c>
      <c r="E176" s="43" t="s">
        <v>1407</v>
      </c>
      <c r="F176" s="43" t="s">
        <v>391</v>
      </c>
      <c r="G176" s="43" t="s">
        <v>1314</v>
      </c>
      <c r="H176" s="43" t="s">
        <v>1315</v>
      </c>
      <c r="I176" s="142" t="s">
        <v>1046</v>
      </c>
      <c r="J176" s="67">
        <v>14.55</v>
      </c>
      <c r="K176" s="70">
        <v>808.83</v>
      </c>
      <c r="L176" s="70"/>
      <c r="M176" s="70"/>
      <c r="N176" s="70"/>
      <c r="O176" s="93"/>
      <c r="P176" s="93"/>
      <c r="Q176" s="70">
        <v>744.7</v>
      </c>
      <c r="R176" s="70">
        <v>427.48</v>
      </c>
      <c r="S176" s="70"/>
      <c r="T176" s="142" t="s">
        <v>400</v>
      </c>
      <c r="U176" s="142"/>
    </row>
    <row r="177" spans="1:21" ht="78.75">
      <c r="A177" s="93">
        <v>11</v>
      </c>
      <c r="B177" s="103" t="s">
        <v>445</v>
      </c>
      <c r="C177" s="93" t="s">
        <v>16</v>
      </c>
      <c r="D177" s="66" t="s">
        <v>1491</v>
      </c>
      <c r="E177" s="43" t="s">
        <v>1492</v>
      </c>
      <c r="F177" s="43" t="s">
        <v>391</v>
      </c>
      <c r="G177" s="43" t="s">
        <v>1314</v>
      </c>
      <c r="H177" s="43" t="s">
        <v>1315</v>
      </c>
      <c r="I177" s="142"/>
      <c r="J177" s="67">
        <v>10.976</v>
      </c>
      <c r="K177" s="70">
        <v>659.73</v>
      </c>
      <c r="L177" s="70" t="s">
        <v>1493</v>
      </c>
      <c r="M177" s="70" t="s">
        <v>1494</v>
      </c>
      <c r="N177" s="70"/>
      <c r="O177" s="93"/>
      <c r="P177" s="93"/>
      <c r="Q177" s="70">
        <v>687.89</v>
      </c>
      <c r="R177" s="70">
        <v>71.5</v>
      </c>
      <c r="S177" s="70"/>
      <c r="T177" s="63" t="s">
        <v>400</v>
      </c>
      <c r="U177" s="142"/>
    </row>
    <row r="178" spans="1:21" ht="78.75">
      <c r="A178" s="93">
        <v>12</v>
      </c>
      <c r="B178" s="103" t="s">
        <v>445</v>
      </c>
      <c r="C178" s="93" t="s">
        <v>16</v>
      </c>
      <c r="D178" s="66" t="s">
        <v>1495</v>
      </c>
      <c r="E178" s="72" t="s">
        <v>1496</v>
      </c>
      <c r="F178" s="43" t="s">
        <v>391</v>
      </c>
      <c r="G178" s="43" t="s">
        <v>1314</v>
      </c>
      <c r="H178" s="43" t="s">
        <v>1315</v>
      </c>
      <c r="I178" s="142"/>
      <c r="J178" s="67">
        <v>10.75</v>
      </c>
      <c r="K178" s="70">
        <v>637.38</v>
      </c>
      <c r="L178" s="70" t="s">
        <v>1242</v>
      </c>
      <c r="M178" s="70" t="s">
        <v>1497</v>
      </c>
      <c r="N178" s="70"/>
      <c r="O178" s="93"/>
      <c r="P178" s="93"/>
      <c r="Q178" s="70">
        <v>688.15</v>
      </c>
      <c r="R178" s="70">
        <v>101.58</v>
      </c>
      <c r="S178" s="70"/>
      <c r="T178" s="63" t="s">
        <v>400</v>
      </c>
      <c r="U178" s="142"/>
    </row>
    <row r="179" spans="1:21" ht="78.75">
      <c r="A179" s="93">
        <v>13</v>
      </c>
      <c r="B179" s="103" t="s">
        <v>445</v>
      </c>
      <c r="C179" s="93" t="s">
        <v>16</v>
      </c>
      <c r="D179" s="66" t="s">
        <v>1498</v>
      </c>
      <c r="E179" s="43" t="s">
        <v>1499</v>
      </c>
      <c r="F179" s="43" t="s">
        <v>391</v>
      </c>
      <c r="G179" s="43" t="s">
        <v>1314</v>
      </c>
      <c r="H179" s="43" t="s">
        <v>1315</v>
      </c>
      <c r="I179" s="142" t="s">
        <v>1465</v>
      </c>
      <c r="J179" s="67">
        <v>8</v>
      </c>
      <c r="K179" s="70">
        <v>465.35</v>
      </c>
      <c r="L179" s="70"/>
      <c r="M179" s="70"/>
      <c r="N179" s="70"/>
      <c r="O179" s="93"/>
      <c r="P179" s="93"/>
      <c r="Q179" s="70">
        <v>498.82</v>
      </c>
      <c r="R179" s="70">
        <v>299.82</v>
      </c>
      <c r="S179" s="70"/>
      <c r="T179" s="142" t="s">
        <v>400</v>
      </c>
      <c r="U179" s="142"/>
    </row>
    <row r="180" spans="1:21" ht="105">
      <c r="A180" s="93">
        <v>3</v>
      </c>
      <c r="B180" s="103" t="s">
        <v>445</v>
      </c>
      <c r="C180" s="93" t="s">
        <v>16</v>
      </c>
      <c r="D180" s="66" t="s">
        <v>1500</v>
      </c>
      <c r="E180" s="43" t="s">
        <v>1501</v>
      </c>
      <c r="F180" s="43" t="s">
        <v>135</v>
      </c>
      <c r="G180" s="43" t="s">
        <v>1314</v>
      </c>
      <c r="H180" s="43" t="s">
        <v>1315</v>
      </c>
      <c r="I180" s="142"/>
      <c r="J180" s="67">
        <v>8</v>
      </c>
      <c r="K180" s="70">
        <v>351.76</v>
      </c>
      <c r="L180" s="70"/>
      <c r="M180" s="70"/>
      <c r="N180" s="70"/>
      <c r="O180" s="93"/>
      <c r="P180" s="93"/>
      <c r="Q180" s="70"/>
      <c r="R180" s="70">
        <v>2.23</v>
      </c>
      <c r="S180" s="70"/>
      <c r="T180" s="142" t="s">
        <v>777</v>
      </c>
      <c r="U180" s="142" t="s">
        <v>712</v>
      </c>
    </row>
    <row r="181" spans="1:21" ht="118.5">
      <c r="A181" s="93">
        <v>4</v>
      </c>
      <c r="B181" s="103" t="s">
        <v>445</v>
      </c>
      <c r="C181" s="93" t="s">
        <v>16</v>
      </c>
      <c r="D181" s="66" t="s">
        <v>1502</v>
      </c>
      <c r="E181" s="43" t="s">
        <v>1503</v>
      </c>
      <c r="F181" s="43" t="s">
        <v>135</v>
      </c>
      <c r="G181" s="43" t="s">
        <v>1314</v>
      </c>
      <c r="H181" s="43" t="s">
        <v>1315</v>
      </c>
      <c r="I181" s="142"/>
      <c r="J181" s="67">
        <v>8.91</v>
      </c>
      <c r="K181" s="70">
        <v>386.79</v>
      </c>
      <c r="L181" s="70"/>
      <c r="M181" s="70"/>
      <c r="N181" s="70"/>
      <c r="O181" s="93"/>
      <c r="P181" s="93"/>
      <c r="Q181" s="70"/>
      <c r="R181" s="70"/>
      <c r="S181" s="70"/>
      <c r="T181" s="142" t="s">
        <v>3168</v>
      </c>
      <c r="U181" s="142" t="s">
        <v>712</v>
      </c>
    </row>
    <row r="182" spans="1:21" ht="92.25">
      <c r="A182" s="93">
        <v>5</v>
      </c>
      <c r="B182" s="103" t="s">
        <v>445</v>
      </c>
      <c r="C182" s="93" t="s">
        <v>16</v>
      </c>
      <c r="D182" s="66" t="s">
        <v>1504</v>
      </c>
      <c r="E182" s="43" t="s">
        <v>1505</v>
      </c>
      <c r="F182" s="43" t="s">
        <v>135</v>
      </c>
      <c r="G182" s="43" t="s">
        <v>1314</v>
      </c>
      <c r="H182" s="43" t="s">
        <v>1315</v>
      </c>
      <c r="I182" s="142"/>
      <c r="J182" s="67">
        <v>5.8</v>
      </c>
      <c r="K182" s="70">
        <v>339.68</v>
      </c>
      <c r="L182" s="70"/>
      <c r="M182" s="70"/>
      <c r="N182" s="70"/>
      <c r="O182" s="93"/>
      <c r="P182" s="93"/>
      <c r="Q182" s="70"/>
      <c r="R182" s="70">
        <v>1.87</v>
      </c>
      <c r="S182" s="70"/>
      <c r="T182" s="142" t="s">
        <v>3168</v>
      </c>
      <c r="U182" s="142" t="s">
        <v>712</v>
      </c>
    </row>
    <row r="183" spans="1:21" ht="105">
      <c r="A183" s="93">
        <v>14</v>
      </c>
      <c r="B183" s="103" t="s">
        <v>445</v>
      </c>
      <c r="C183" s="93" t="s">
        <v>16</v>
      </c>
      <c r="D183" s="66" t="s">
        <v>1506</v>
      </c>
      <c r="E183" s="43" t="s">
        <v>1507</v>
      </c>
      <c r="F183" s="43" t="s">
        <v>391</v>
      </c>
      <c r="G183" s="43" t="s">
        <v>1314</v>
      </c>
      <c r="H183" s="43" t="s">
        <v>1315</v>
      </c>
      <c r="I183" s="142" t="s">
        <v>1449</v>
      </c>
      <c r="J183" s="67">
        <v>2.625</v>
      </c>
      <c r="K183" s="70">
        <v>151.1</v>
      </c>
      <c r="L183" s="70"/>
      <c r="M183" s="70"/>
      <c r="N183" s="70"/>
      <c r="O183" s="93"/>
      <c r="P183" s="93"/>
      <c r="Q183" s="70">
        <v>144.83</v>
      </c>
      <c r="R183" s="70">
        <v>108.57</v>
      </c>
      <c r="S183" s="70">
        <v>2.63</v>
      </c>
      <c r="T183" s="63" t="s">
        <v>400</v>
      </c>
      <c r="U183" s="142"/>
    </row>
    <row r="184" spans="1:21" ht="92.25">
      <c r="A184" s="93">
        <v>6</v>
      </c>
      <c r="B184" s="103" t="s">
        <v>445</v>
      </c>
      <c r="C184" s="93" t="s">
        <v>16</v>
      </c>
      <c r="D184" s="66" t="s">
        <v>1508</v>
      </c>
      <c r="E184" s="43" t="s">
        <v>1509</v>
      </c>
      <c r="F184" s="43" t="s">
        <v>135</v>
      </c>
      <c r="G184" s="43" t="s">
        <v>1314</v>
      </c>
      <c r="H184" s="43" t="s">
        <v>1315</v>
      </c>
      <c r="I184" s="142"/>
      <c r="J184" s="67">
        <v>6.125</v>
      </c>
      <c r="K184" s="70">
        <v>337.11</v>
      </c>
      <c r="L184" s="70"/>
      <c r="M184" s="70"/>
      <c r="N184" s="70"/>
      <c r="O184" s="93"/>
      <c r="P184" s="93"/>
      <c r="Q184" s="70"/>
      <c r="R184" s="70">
        <v>1.71</v>
      </c>
      <c r="S184" s="70"/>
      <c r="T184" s="142" t="s">
        <v>1510</v>
      </c>
      <c r="U184" s="142" t="s">
        <v>712</v>
      </c>
    </row>
    <row r="185" spans="1:21" ht="92.25">
      <c r="A185" s="93">
        <v>7</v>
      </c>
      <c r="B185" s="103" t="s">
        <v>445</v>
      </c>
      <c r="C185" s="93" t="s">
        <v>16</v>
      </c>
      <c r="D185" s="66" t="s">
        <v>1511</v>
      </c>
      <c r="E185" s="43" t="s">
        <v>1512</v>
      </c>
      <c r="F185" s="43" t="s">
        <v>135</v>
      </c>
      <c r="G185" s="43" t="s">
        <v>1314</v>
      </c>
      <c r="H185" s="43" t="s">
        <v>1315</v>
      </c>
      <c r="I185" s="142"/>
      <c r="J185" s="67">
        <v>10.35</v>
      </c>
      <c r="K185" s="70">
        <v>588.08</v>
      </c>
      <c r="L185" s="70"/>
      <c r="M185" s="70"/>
      <c r="N185" s="70"/>
      <c r="O185" s="93"/>
      <c r="P185" s="93"/>
      <c r="Q185" s="70"/>
      <c r="R185" s="70">
        <v>3.25</v>
      </c>
      <c r="S185" s="70"/>
      <c r="T185" s="142" t="s">
        <v>777</v>
      </c>
      <c r="U185" s="142" t="s">
        <v>712</v>
      </c>
    </row>
    <row r="186" spans="1:21" ht="66">
      <c r="A186" s="93">
        <v>8</v>
      </c>
      <c r="B186" s="103" t="s">
        <v>445</v>
      </c>
      <c r="C186" s="93" t="s">
        <v>16</v>
      </c>
      <c r="D186" s="66" t="s">
        <v>1513</v>
      </c>
      <c r="E186" s="43" t="s">
        <v>1514</v>
      </c>
      <c r="F186" s="43" t="s">
        <v>135</v>
      </c>
      <c r="G186" s="43" t="s">
        <v>1314</v>
      </c>
      <c r="H186" s="43" t="s">
        <v>1315</v>
      </c>
      <c r="I186" s="142"/>
      <c r="J186" s="67">
        <v>12.675</v>
      </c>
      <c r="K186" s="142">
        <v>811.67</v>
      </c>
      <c r="L186" s="142"/>
      <c r="M186" s="142"/>
      <c r="N186" s="142"/>
      <c r="O186" s="93"/>
      <c r="P186" s="93"/>
      <c r="Q186" s="142"/>
      <c r="R186" s="142">
        <v>4.06</v>
      </c>
      <c r="S186" s="142"/>
      <c r="T186" s="142" t="s">
        <v>777</v>
      </c>
      <c r="U186" s="142" t="s">
        <v>712</v>
      </c>
    </row>
    <row r="187" spans="1:21" ht="78.75">
      <c r="A187" s="93">
        <v>9</v>
      </c>
      <c r="B187" s="103" t="s">
        <v>445</v>
      </c>
      <c r="C187" s="93" t="s">
        <v>16</v>
      </c>
      <c r="D187" s="66" t="s">
        <v>1515</v>
      </c>
      <c r="E187" s="43" t="s">
        <v>1516</v>
      </c>
      <c r="F187" s="43" t="s">
        <v>135</v>
      </c>
      <c r="G187" s="43" t="s">
        <v>1314</v>
      </c>
      <c r="H187" s="43" t="s">
        <v>1315</v>
      </c>
      <c r="I187" s="142"/>
      <c r="J187" s="67">
        <v>18.275</v>
      </c>
      <c r="K187" s="142">
        <v>1000.47</v>
      </c>
      <c r="L187" s="142"/>
      <c r="M187" s="142"/>
      <c r="N187" s="142"/>
      <c r="O187" s="93"/>
      <c r="P187" s="93"/>
      <c r="Q187" s="142"/>
      <c r="R187" s="142">
        <v>5.16</v>
      </c>
      <c r="S187" s="142"/>
      <c r="T187" s="142" t="s">
        <v>777</v>
      </c>
      <c r="U187" s="142" t="s">
        <v>1108</v>
      </c>
    </row>
    <row r="188" spans="1:21" ht="66">
      <c r="A188" s="93">
        <v>15</v>
      </c>
      <c r="B188" s="103" t="s">
        <v>462</v>
      </c>
      <c r="C188" s="93" t="s">
        <v>16</v>
      </c>
      <c r="D188" s="124" t="s">
        <v>1517</v>
      </c>
      <c r="E188" s="43" t="s">
        <v>1340</v>
      </c>
      <c r="F188" s="43" t="s">
        <v>391</v>
      </c>
      <c r="G188" s="43" t="s">
        <v>1314</v>
      </c>
      <c r="H188" s="43" t="s">
        <v>1315</v>
      </c>
      <c r="I188" s="142" t="s">
        <v>1472</v>
      </c>
      <c r="J188" s="67">
        <v>9.17</v>
      </c>
      <c r="K188" s="142">
        <v>465.07</v>
      </c>
      <c r="L188" s="142" t="s">
        <v>1518</v>
      </c>
      <c r="M188" s="142" t="s">
        <v>1519</v>
      </c>
      <c r="N188" s="142"/>
      <c r="O188" s="93"/>
      <c r="P188" s="93"/>
      <c r="Q188" s="142">
        <v>346.13</v>
      </c>
      <c r="R188" s="142">
        <v>191.72</v>
      </c>
      <c r="S188" s="142"/>
      <c r="T188" s="142" t="s">
        <v>400</v>
      </c>
      <c r="U188" s="142"/>
    </row>
    <row r="189" spans="1:21" ht="144.75">
      <c r="A189" s="93">
        <v>16</v>
      </c>
      <c r="B189" s="103" t="s">
        <v>462</v>
      </c>
      <c r="C189" s="93" t="s">
        <v>16</v>
      </c>
      <c r="D189" s="66" t="s">
        <v>1520</v>
      </c>
      <c r="E189" s="43" t="s">
        <v>1343</v>
      </c>
      <c r="F189" s="43" t="s">
        <v>159</v>
      </c>
      <c r="G189" s="43" t="s">
        <v>1314</v>
      </c>
      <c r="H189" s="43" t="s">
        <v>1315</v>
      </c>
      <c r="I189" s="142"/>
      <c r="J189" s="67">
        <v>11.575</v>
      </c>
      <c r="K189" s="70">
        <v>458.75</v>
      </c>
      <c r="L189" s="70" t="s">
        <v>1521</v>
      </c>
      <c r="M189" s="70" t="s">
        <v>1522</v>
      </c>
      <c r="N189" s="70"/>
      <c r="O189" s="93"/>
      <c r="P189" s="93"/>
      <c r="Q189" s="70">
        <v>467.75</v>
      </c>
      <c r="R189" s="70">
        <v>92.77</v>
      </c>
      <c r="S189" s="70"/>
      <c r="T189" s="63" t="s">
        <v>400</v>
      </c>
      <c r="U189" s="142" t="s">
        <v>451</v>
      </c>
    </row>
    <row r="190" spans="1:21" ht="78.75">
      <c r="A190" s="93">
        <v>17</v>
      </c>
      <c r="B190" s="103" t="s">
        <v>462</v>
      </c>
      <c r="C190" s="93" t="s">
        <v>16</v>
      </c>
      <c r="D190" s="66" t="s">
        <v>1523</v>
      </c>
      <c r="E190" s="43" t="s">
        <v>1385</v>
      </c>
      <c r="F190" s="43" t="s">
        <v>391</v>
      </c>
      <c r="G190" s="43" t="s">
        <v>1314</v>
      </c>
      <c r="H190" s="43" t="s">
        <v>1315</v>
      </c>
      <c r="I190" s="142" t="s">
        <v>1524</v>
      </c>
      <c r="J190" s="67">
        <v>9.175</v>
      </c>
      <c r="K190" s="70">
        <v>474.33</v>
      </c>
      <c r="L190" s="142" t="s">
        <v>1525</v>
      </c>
      <c r="M190" s="142" t="s">
        <v>1526</v>
      </c>
      <c r="N190" s="142"/>
      <c r="O190" s="93"/>
      <c r="P190" s="93"/>
      <c r="Q190" s="142">
        <v>474.33</v>
      </c>
      <c r="R190" s="142">
        <v>27.57</v>
      </c>
      <c r="S190" s="142"/>
      <c r="T190" s="63" t="s">
        <v>400</v>
      </c>
      <c r="U190" s="142"/>
    </row>
    <row r="191" spans="1:21" ht="105">
      <c r="A191" s="93">
        <v>18</v>
      </c>
      <c r="B191" s="103" t="s">
        <v>462</v>
      </c>
      <c r="C191" s="93" t="s">
        <v>16</v>
      </c>
      <c r="D191" s="66" t="s">
        <v>1529</v>
      </c>
      <c r="E191" s="43" t="s">
        <v>1393</v>
      </c>
      <c r="F191" s="43" t="s">
        <v>159</v>
      </c>
      <c r="G191" s="43" t="s">
        <v>1314</v>
      </c>
      <c r="H191" s="43" t="s">
        <v>1315</v>
      </c>
      <c r="I191" s="142"/>
      <c r="J191" s="67">
        <v>2.92</v>
      </c>
      <c r="K191" s="70">
        <v>110.23</v>
      </c>
      <c r="L191" s="70" t="s">
        <v>1525</v>
      </c>
      <c r="M191" s="70" t="s">
        <v>1530</v>
      </c>
      <c r="N191" s="70"/>
      <c r="O191" s="93"/>
      <c r="P191" s="93"/>
      <c r="Q191" s="70">
        <v>129.15</v>
      </c>
      <c r="R191" s="70">
        <v>0.38</v>
      </c>
      <c r="S191" s="70"/>
      <c r="T191" s="63" t="s">
        <v>400</v>
      </c>
      <c r="U191" s="142" t="s">
        <v>451</v>
      </c>
    </row>
    <row r="192" spans="1:21" ht="78.75">
      <c r="A192" s="93">
        <v>19</v>
      </c>
      <c r="B192" s="103" t="s">
        <v>462</v>
      </c>
      <c r="C192" s="93" t="s">
        <v>16</v>
      </c>
      <c r="D192" s="66" t="s">
        <v>1533</v>
      </c>
      <c r="E192" s="43" t="s">
        <v>1534</v>
      </c>
      <c r="F192" s="43" t="s">
        <v>391</v>
      </c>
      <c r="G192" s="43" t="s">
        <v>1314</v>
      </c>
      <c r="H192" s="43" t="s">
        <v>1315</v>
      </c>
      <c r="I192" s="147" t="s">
        <v>1098</v>
      </c>
      <c r="J192" s="67">
        <v>7</v>
      </c>
      <c r="K192" s="70">
        <v>385.77</v>
      </c>
      <c r="L192" s="70" t="s">
        <v>1493</v>
      </c>
      <c r="M192" s="70" t="s">
        <v>1535</v>
      </c>
      <c r="N192" s="70"/>
      <c r="O192" s="93"/>
      <c r="P192" s="93"/>
      <c r="Q192" s="70">
        <v>379.69</v>
      </c>
      <c r="R192" s="70">
        <v>179.19</v>
      </c>
      <c r="S192" s="70"/>
      <c r="T192" s="142" t="s">
        <v>400</v>
      </c>
      <c r="U192" s="142"/>
    </row>
    <row r="193" spans="1:21" ht="92.25">
      <c r="A193" s="93">
        <v>1</v>
      </c>
      <c r="B193" s="103" t="s">
        <v>445</v>
      </c>
      <c r="C193" s="93" t="s">
        <v>17</v>
      </c>
      <c r="D193" s="66" t="s">
        <v>1612</v>
      </c>
      <c r="E193" s="43" t="s">
        <v>1537</v>
      </c>
      <c r="F193" s="43" t="s">
        <v>138</v>
      </c>
      <c r="G193" s="43" t="s">
        <v>1551</v>
      </c>
      <c r="H193" s="43" t="s">
        <v>16</v>
      </c>
      <c r="I193" s="142"/>
      <c r="J193" s="67">
        <v>22</v>
      </c>
      <c r="K193" s="142">
        <v>330.13</v>
      </c>
      <c r="L193" s="142"/>
      <c r="M193" s="142"/>
      <c r="N193" s="142"/>
      <c r="O193" s="93"/>
      <c r="P193" s="93"/>
      <c r="Q193" s="142"/>
      <c r="R193" s="142">
        <v>2.81</v>
      </c>
      <c r="S193" s="142"/>
      <c r="T193" s="142" t="s">
        <v>400</v>
      </c>
      <c r="U193" s="142" t="s">
        <v>451</v>
      </c>
    </row>
    <row r="194" spans="1:21" ht="144.75">
      <c r="A194" s="93">
        <v>2</v>
      </c>
      <c r="B194" s="103" t="s">
        <v>445</v>
      </c>
      <c r="C194" s="93" t="s">
        <v>17</v>
      </c>
      <c r="D194" s="66" t="s">
        <v>1613</v>
      </c>
      <c r="E194" s="43" t="s">
        <v>1548</v>
      </c>
      <c r="F194" s="43" t="s">
        <v>138</v>
      </c>
      <c r="G194" s="43" t="s">
        <v>1551</v>
      </c>
      <c r="H194" s="43" t="s">
        <v>16</v>
      </c>
      <c r="I194" s="142"/>
      <c r="J194" s="67">
        <v>5</v>
      </c>
      <c r="K194" s="142">
        <v>75.24</v>
      </c>
      <c r="L194" s="142"/>
      <c r="M194" s="142"/>
      <c r="N194" s="142"/>
      <c r="O194" s="93"/>
      <c r="P194" s="93"/>
      <c r="Q194" s="142"/>
      <c r="R194" s="142">
        <v>2.81</v>
      </c>
      <c r="S194" s="142"/>
      <c r="T194" s="142" t="s">
        <v>400</v>
      </c>
      <c r="U194" s="142" t="s">
        <v>451</v>
      </c>
    </row>
    <row r="195" spans="1:21" ht="78.75">
      <c r="A195" s="93">
        <v>1</v>
      </c>
      <c r="B195" s="103" t="s">
        <v>445</v>
      </c>
      <c r="C195" s="93" t="s">
        <v>17</v>
      </c>
      <c r="D195" s="66" t="s">
        <v>1614</v>
      </c>
      <c r="E195" s="43" t="s">
        <v>1557</v>
      </c>
      <c r="F195" s="43" t="s">
        <v>138</v>
      </c>
      <c r="G195" s="43" t="s">
        <v>1542</v>
      </c>
      <c r="H195" s="43" t="s">
        <v>16</v>
      </c>
      <c r="I195" s="234" t="s">
        <v>1615</v>
      </c>
      <c r="J195" s="67">
        <v>2</v>
      </c>
      <c r="K195" s="142">
        <v>30.26</v>
      </c>
      <c r="L195" s="142"/>
      <c r="M195" s="142"/>
      <c r="N195" s="142"/>
      <c r="O195" s="93"/>
      <c r="P195" s="93"/>
      <c r="Q195" s="234">
        <v>389.93</v>
      </c>
      <c r="R195" s="142">
        <v>2.89</v>
      </c>
      <c r="S195" s="142">
        <v>2</v>
      </c>
      <c r="T195" s="142" t="s">
        <v>400</v>
      </c>
      <c r="U195" s="142" t="s">
        <v>451</v>
      </c>
    </row>
    <row r="196" spans="1:21" ht="78.75">
      <c r="A196" s="93">
        <v>1</v>
      </c>
      <c r="B196" s="103" t="s">
        <v>445</v>
      </c>
      <c r="C196" s="93" t="s">
        <v>17</v>
      </c>
      <c r="D196" s="66" t="s">
        <v>1616</v>
      </c>
      <c r="E196" s="43" t="s">
        <v>1575</v>
      </c>
      <c r="F196" s="43" t="s">
        <v>138</v>
      </c>
      <c r="G196" s="47" t="s">
        <v>1579</v>
      </c>
      <c r="H196" s="43" t="s">
        <v>16</v>
      </c>
      <c r="I196" s="234"/>
      <c r="J196" s="67">
        <v>1.2</v>
      </c>
      <c r="K196" s="142">
        <v>18.03</v>
      </c>
      <c r="L196" s="235" t="s">
        <v>414</v>
      </c>
      <c r="M196" s="235" t="s">
        <v>1617</v>
      </c>
      <c r="N196" s="235"/>
      <c r="O196" s="93"/>
      <c r="P196" s="93"/>
      <c r="Q196" s="234"/>
      <c r="R196" s="142">
        <v>17.32</v>
      </c>
      <c r="S196" s="142">
        <v>2</v>
      </c>
      <c r="T196" s="142" t="s">
        <v>400</v>
      </c>
      <c r="U196" s="142" t="s">
        <v>451</v>
      </c>
    </row>
    <row r="197" spans="1:21" ht="105">
      <c r="A197" s="93">
        <v>1</v>
      </c>
      <c r="B197" s="103" t="s">
        <v>445</v>
      </c>
      <c r="C197" s="93" t="s">
        <v>17</v>
      </c>
      <c r="D197" s="66" t="s">
        <v>1618</v>
      </c>
      <c r="E197" s="43" t="s">
        <v>1619</v>
      </c>
      <c r="F197" s="43" t="s">
        <v>138</v>
      </c>
      <c r="G197" s="43" t="s">
        <v>1538</v>
      </c>
      <c r="H197" s="43" t="s">
        <v>16</v>
      </c>
      <c r="I197" s="234"/>
      <c r="J197" s="67">
        <v>2.2</v>
      </c>
      <c r="K197" s="142">
        <v>34.17</v>
      </c>
      <c r="L197" s="236"/>
      <c r="M197" s="236"/>
      <c r="N197" s="236"/>
      <c r="O197" s="93"/>
      <c r="P197" s="93"/>
      <c r="Q197" s="234"/>
      <c r="R197" s="142">
        <v>0.43</v>
      </c>
      <c r="S197" s="142">
        <v>1.2</v>
      </c>
      <c r="T197" s="142" t="s">
        <v>400</v>
      </c>
      <c r="U197" s="142" t="s">
        <v>451</v>
      </c>
    </row>
    <row r="198" spans="1:21" ht="78.75">
      <c r="A198" s="93">
        <v>2</v>
      </c>
      <c r="B198" s="103" t="s">
        <v>445</v>
      </c>
      <c r="C198" s="93" t="s">
        <v>17</v>
      </c>
      <c r="D198" s="66" t="s">
        <v>1620</v>
      </c>
      <c r="E198" s="43" t="s">
        <v>1621</v>
      </c>
      <c r="F198" s="43" t="s">
        <v>138</v>
      </c>
      <c r="G198" s="43" t="s">
        <v>1538</v>
      </c>
      <c r="H198" s="43" t="s">
        <v>16</v>
      </c>
      <c r="I198" s="234"/>
      <c r="J198" s="67">
        <v>5</v>
      </c>
      <c r="K198" s="142">
        <v>75.24</v>
      </c>
      <c r="L198" s="236"/>
      <c r="M198" s="236"/>
      <c r="N198" s="236"/>
      <c r="O198" s="93"/>
      <c r="P198" s="93"/>
      <c r="Q198" s="234"/>
      <c r="R198" s="142">
        <v>13.48</v>
      </c>
      <c r="S198" s="142">
        <v>2.05</v>
      </c>
      <c r="T198" s="142" t="s">
        <v>400</v>
      </c>
      <c r="U198" s="142" t="s">
        <v>451</v>
      </c>
    </row>
    <row r="199" spans="1:21" ht="132">
      <c r="A199" s="93">
        <v>1</v>
      </c>
      <c r="B199" s="103" t="s">
        <v>445</v>
      </c>
      <c r="C199" s="93" t="s">
        <v>17</v>
      </c>
      <c r="D199" s="66" t="s">
        <v>1622</v>
      </c>
      <c r="E199" s="43" t="s">
        <v>1623</v>
      </c>
      <c r="F199" s="43" t="s">
        <v>138</v>
      </c>
      <c r="G199" s="43" t="s">
        <v>1577</v>
      </c>
      <c r="H199" s="43" t="s">
        <v>16</v>
      </c>
      <c r="I199" s="234"/>
      <c r="J199" s="67">
        <v>4.1</v>
      </c>
      <c r="K199" s="142">
        <v>61.63</v>
      </c>
      <c r="L199" s="236"/>
      <c r="M199" s="236"/>
      <c r="N199" s="236"/>
      <c r="O199" s="93"/>
      <c r="P199" s="93"/>
      <c r="Q199" s="234"/>
      <c r="R199" s="142">
        <v>16.01</v>
      </c>
      <c r="S199" s="142">
        <v>5</v>
      </c>
      <c r="T199" s="142" t="s">
        <v>400</v>
      </c>
      <c r="U199" s="142" t="s">
        <v>451</v>
      </c>
    </row>
    <row r="200" spans="1:21" ht="105">
      <c r="A200" s="93">
        <v>1</v>
      </c>
      <c r="B200" s="103" t="s">
        <v>445</v>
      </c>
      <c r="C200" s="93" t="s">
        <v>17</v>
      </c>
      <c r="D200" s="66" t="s">
        <v>1624</v>
      </c>
      <c r="E200" s="43" t="s">
        <v>1625</v>
      </c>
      <c r="F200" s="43" t="s">
        <v>138</v>
      </c>
      <c r="G200" s="43" t="s">
        <v>1584</v>
      </c>
      <c r="H200" s="43" t="s">
        <v>16</v>
      </c>
      <c r="I200" s="234"/>
      <c r="J200" s="67">
        <v>3</v>
      </c>
      <c r="K200" s="142">
        <v>45.25</v>
      </c>
      <c r="L200" s="236"/>
      <c r="M200" s="236"/>
      <c r="N200" s="236"/>
      <c r="O200" s="93"/>
      <c r="P200" s="93"/>
      <c r="Q200" s="234"/>
      <c r="R200" s="142">
        <v>48.62</v>
      </c>
      <c r="S200" s="142">
        <v>4.1</v>
      </c>
      <c r="T200" s="142" t="s">
        <v>400</v>
      </c>
      <c r="U200" s="142" t="s">
        <v>451</v>
      </c>
    </row>
    <row r="201" spans="1:21" ht="105">
      <c r="A201" s="93">
        <v>2</v>
      </c>
      <c r="B201" s="103" t="s">
        <v>445</v>
      </c>
      <c r="C201" s="93" t="s">
        <v>17</v>
      </c>
      <c r="D201" s="66" t="s">
        <v>1626</v>
      </c>
      <c r="E201" s="43" t="s">
        <v>1627</v>
      </c>
      <c r="F201" s="43" t="s">
        <v>138</v>
      </c>
      <c r="G201" s="43" t="s">
        <v>1584</v>
      </c>
      <c r="H201" s="43" t="s">
        <v>16</v>
      </c>
      <c r="I201" s="234"/>
      <c r="J201" s="67">
        <v>5.5</v>
      </c>
      <c r="K201" s="142">
        <v>83.33</v>
      </c>
      <c r="L201" s="236"/>
      <c r="M201" s="236"/>
      <c r="N201" s="236"/>
      <c r="O201" s="93"/>
      <c r="P201" s="93"/>
      <c r="Q201" s="234"/>
      <c r="R201" s="142">
        <v>30.9</v>
      </c>
      <c r="S201" s="142">
        <v>3</v>
      </c>
      <c r="T201" s="142" t="s">
        <v>400</v>
      </c>
      <c r="U201" s="142" t="s">
        <v>451</v>
      </c>
    </row>
    <row r="202" spans="1:21" ht="92.25">
      <c r="A202" s="93">
        <v>3</v>
      </c>
      <c r="B202" s="103" t="s">
        <v>445</v>
      </c>
      <c r="C202" s="93" t="s">
        <v>17</v>
      </c>
      <c r="D202" s="66" t="s">
        <v>1628</v>
      </c>
      <c r="E202" s="43" t="s">
        <v>1583</v>
      </c>
      <c r="F202" s="43" t="s">
        <v>138</v>
      </c>
      <c r="G202" s="43" t="s">
        <v>1584</v>
      </c>
      <c r="H202" s="43" t="s">
        <v>16</v>
      </c>
      <c r="I202" s="234" t="s">
        <v>1629</v>
      </c>
      <c r="J202" s="67">
        <v>7</v>
      </c>
      <c r="K202" s="142">
        <v>105.22</v>
      </c>
      <c r="L202" s="237"/>
      <c r="M202" s="237"/>
      <c r="N202" s="237"/>
      <c r="O202" s="93"/>
      <c r="P202" s="93"/>
      <c r="Q202" s="234">
        <v>375.2</v>
      </c>
      <c r="R202" s="142">
        <v>64.09</v>
      </c>
      <c r="S202" s="142">
        <v>3.2</v>
      </c>
      <c r="T202" s="142" t="s">
        <v>400</v>
      </c>
      <c r="U202" s="142" t="s">
        <v>451</v>
      </c>
    </row>
    <row r="203" spans="1:21" ht="78.75">
      <c r="A203" s="93">
        <v>1</v>
      </c>
      <c r="B203" s="103" t="s">
        <v>445</v>
      </c>
      <c r="C203" s="93" t="s">
        <v>17</v>
      </c>
      <c r="D203" s="66" t="s">
        <v>1630</v>
      </c>
      <c r="E203" s="43" t="s">
        <v>1631</v>
      </c>
      <c r="F203" s="43" t="s">
        <v>138</v>
      </c>
      <c r="G203" s="43" t="s">
        <v>1544</v>
      </c>
      <c r="H203" s="43" t="s">
        <v>16</v>
      </c>
      <c r="I203" s="234"/>
      <c r="J203" s="67">
        <v>4.1</v>
      </c>
      <c r="K203" s="142">
        <v>65.61</v>
      </c>
      <c r="L203" s="235" t="s">
        <v>1478</v>
      </c>
      <c r="M203" s="235" t="s">
        <v>1528</v>
      </c>
      <c r="N203" s="235"/>
      <c r="O203" s="93"/>
      <c r="P203" s="93"/>
      <c r="Q203" s="234"/>
      <c r="R203" s="142">
        <v>50.64</v>
      </c>
      <c r="S203" s="142">
        <v>7</v>
      </c>
      <c r="T203" s="142" t="s">
        <v>400</v>
      </c>
      <c r="U203" s="142" t="s">
        <v>451</v>
      </c>
    </row>
    <row r="204" spans="1:21" ht="92.25">
      <c r="A204" s="93">
        <v>2</v>
      </c>
      <c r="B204" s="103" t="s">
        <v>445</v>
      </c>
      <c r="C204" s="93" t="s">
        <v>17</v>
      </c>
      <c r="D204" s="66" t="s">
        <v>1632</v>
      </c>
      <c r="E204" s="43" t="s">
        <v>1633</v>
      </c>
      <c r="F204" s="43" t="s">
        <v>138</v>
      </c>
      <c r="G204" s="43" t="s">
        <v>1544</v>
      </c>
      <c r="H204" s="43" t="s">
        <v>16</v>
      </c>
      <c r="I204" s="234"/>
      <c r="J204" s="67">
        <v>5.65</v>
      </c>
      <c r="K204" s="142">
        <v>85.39</v>
      </c>
      <c r="L204" s="236"/>
      <c r="M204" s="236"/>
      <c r="N204" s="236"/>
      <c r="O204" s="93"/>
      <c r="P204" s="93"/>
      <c r="Q204" s="234"/>
      <c r="R204" s="142">
        <v>28.07</v>
      </c>
      <c r="S204" s="142">
        <v>4.1</v>
      </c>
      <c r="T204" s="142" t="s">
        <v>400</v>
      </c>
      <c r="U204" s="142" t="s">
        <v>451</v>
      </c>
    </row>
    <row r="205" spans="1:21" ht="92.25">
      <c r="A205" s="93">
        <v>3</v>
      </c>
      <c r="B205" s="103" t="s">
        <v>445</v>
      </c>
      <c r="C205" s="93" t="s">
        <v>17</v>
      </c>
      <c r="D205" s="66" t="s">
        <v>1634</v>
      </c>
      <c r="E205" s="43" t="s">
        <v>1635</v>
      </c>
      <c r="F205" s="43" t="s">
        <v>138</v>
      </c>
      <c r="G205" s="43" t="s">
        <v>1544</v>
      </c>
      <c r="H205" s="43" t="s">
        <v>16</v>
      </c>
      <c r="I205" s="234"/>
      <c r="J205" s="67">
        <v>1.2</v>
      </c>
      <c r="K205" s="142">
        <v>18.03</v>
      </c>
      <c r="L205" s="236"/>
      <c r="M205" s="236"/>
      <c r="N205" s="236"/>
      <c r="O205" s="93"/>
      <c r="P205" s="93"/>
      <c r="Q205" s="234"/>
      <c r="R205" s="142">
        <v>58.5</v>
      </c>
      <c r="S205" s="142">
        <v>5.65</v>
      </c>
      <c r="T205" s="142" t="s">
        <v>400</v>
      </c>
      <c r="U205" s="142" t="s">
        <v>451</v>
      </c>
    </row>
    <row r="206" spans="1:21" ht="78.75">
      <c r="A206" s="93">
        <v>4</v>
      </c>
      <c r="B206" s="103" t="s">
        <v>445</v>
      </c>
      <c r="C206" s="93" t="s">
        <v>17</v>
      </c>
      <c r="D206" s="66" t="s">
        <v>1636</v>
      </c>
      <c r="E206" s="43" t="s">
        <v>1637</v>
      </c>
      <c r="F206" s="43" t="s">
        <v>138</v>
      </c>
      <c r="G206" s="43" t="s">
        <v>1544</v>
      </c>
      <c r="H206" s="43" t="s">
        <v>16</v>
      </c>
      <c r="I206" s="234"/>
      <c r="J206" s="67">
        <v>3.2</v>
      </c>
      <c r="K206" s="142">
        <v>48.01</v>
      </c>
      <c r="L206" s="236"/>
      <c r="M206" s="236"/>
      <c r="N206" s="236"/>
      <c r="O206" s="93"/>
      <c r="P206" s="93"/>
      <c r="Q206" s="234"/>
      <c r="R206" s="142">
        <v>20.18</v>
      </c>
      <c r="S206" s="142">
        <v>1.2</v>
      </c>
      <c r="T206" s="142" t="s">
        <v>400</v>
      </c>
      <c r="U206" s="142" t="s">
        <v>451</v>
      </c>
    </row>
    <row r="207" spans="1:21" ht="92.25">
      <c r="A207" s="93">
        <v>5</v>
      </c>
      <c r="B207" s="103" t="s">
        <v>445</v>
      </c>
      <c r="C207" s="93" t="s">
        <v>17</v>
      </c>
      <c r="D207" s="66" t="s">
        <v>1638</v>
      </c>
      <c r="E207" s="43" t="s">
        <v>1639</v>
      </c>
      <c r="F207" s="43" t="s">
        <v>138</v>
      </c>
      <c r="G207" s="43" t="s">
        <v>1544</v>
      </c>
      <c r="H207" s="43" t="s">
        <v>16</v>
      </c>
      <c r="I207" s="234"/>
      <c r="J207" s="67">
        <v>1.1</v>
      </c>
      <c r="K207" s="142">
        <v>16.66</v>
      </c>
      <c r="L207" s="236"/>
      <c r="M207" s="236"/>
      <c r="N207" s="236"/>
      <c r="O207" s="93"/>
      <c r="P207" s="93"/>
      <c r="Q207" s="234"/>
      <c r="R207" s="142">
        <v>5.06</v>
      </c>
      <c r="S207" s="142">
        <v>2.9</v>
      </c>
      <c r="T207" s="142" t="s">
        <v>400</v>
      </c>
      <c r="U207" s="142" t="s">
        <v>451</v>
      </c>
    </row>
    <row r="208" spans="1:21" ht="92.25">
      <c r="A208" s="93">
        <v>6</v>
      </c>
      <c r="B208" s="103" t="s">
        <v>445</v>
      </c>
      <c r="C208" s="93" t="s">
        <v>17</v>
      </c>
      <c r="D208" s="66" t="s">
        <v>1640</v>
      </c>
      <c r="E208" s="43" t="s">
        <v>1641</v>
      </c>
      <c r="F208" s="43" t="s">
        <v>138</v>
      </c>
      <c r="G208" s="43" t="s">
        <v>1544</v>
      </c>
      <c r="H208" s="43" t="s">
        <v>16</v>
      </c>
      <c r="I208" s="234"/>
      <c r="J208" s="67">
        <v>8</v>
      </c>
      <c r="K208" s="142">
        <v>120.22</v>
      </c>
      <c r="L208" s="236"/>
      <c r="M208" s="236"/>
      <c r="N208" s="236"/>
      <c r="O208" s="93"/>
      <c r="P208" s="93"/>
      <c r="Q208" s="234"/>
      <c r="R208" s="142">
        <v>12.91</v>
      </c>
      <c r="S208" s="142">
        <v>1.1</v>
      </c>
      <c r="T208" s="142" t="s">
        <v>400</v>
      </c>
      <c r="U208" s="142" t="s">
        <v>451</v>
      </c>
    </row>
    <row r="209" spans="1:21" ht="118.5">
      <c r="A209" s="93">
        <v>7</v>
      </c>
      <c r="B209" s="103" t="s">
        <v>445</v>
      </c>
      <c r="C209" s="93" t="s">
        <v>17</v>
      </c>
      <c r="D209" s="66" t="s">
        <v>1642</v>
      </c>
      <c r="E209" s="43" t="s">
        <v>1643</v>
      </c>
      <c r="F209" s="43" t="s">
        <v>138</v>
      </c>
      <c r="G209" s="43" t="s">
        <v>1544</v>
      </c>
      <c r="H209" s="43" t="s">
        <v>16</v>
      </c>
      <c r="I209" s="142"/>
      <c r="J209" s="67">
        <v>4</v>
      </c>
      <c r="K209" s="142">
        <v>60.24</v>
      </c>
      <c r="L209" s="237"/>
      <c r="M209" s="237"/>
      <c r="N209" s="237"/>
      <c r="O209" s="93"/>
      <c r="P209" s="93"/>
      <c r="Q209" s="142"/>
      <c r="R209" s="142">
        <v>2.89</v>
      </c>
      <c r="S209" s="142"/>
      <c r="T209" s="142" t="s">
        <v>400</v>
      </c>
      <c r="U209" s="142" t="s">
        <v>451</v>
      </c>
    </row>
    <row r="210" spans="1:21" ht="118.5">
      <c r="A210" s="93">
        <v>3</v>
      </c>
      <c r="B210" s="103" t="s">
        <v>445</v>
      </c>
      <c r="C210" s="93" t="s">
        <v>17</v>
      </c>
      <c r="D210" s="66" t="s">
        <v>1644</v>
      </c>
      <c r="E210" s="43" t="s">
        <v>1645</v>
      </c>
      <c r="F210" s="43" t="s">
        <v>138</v>
      </c>
      <c r="G210" s="43" t="s">
        <v>1551</v>
      </c>
      <c r="H210" s="43" t="s">
        <v>16</v>
      </c>
      <c r="I210" s="142"/>
      <c r="J210" s="67">
        <v>17.5</v>
      </c>
      <c r="K210" s="142">
        <v>263.29</v>
      </c>
      <c r="L210" s="142" t="s">
        <v>1646</v>
      </c>
      <c r="M210" s="142" t="s">
        <v>1647</v>
      </c>
      <c r="N210" s="142"/>
      <c r="O210" s="93"/>
      <c r="P210" s="93"/>
      <c r="Q210" s="142"/>
      <c r="R210" s="142">
        <v>88.6</v>
      </c>
      <c r="S210" s="142">
        <v>7</v>
      </c>
      <c r="T210" s="142" t="s">
        <v>400</v>
      </c>
      <c r="U210" s="142" t="s">
        <v>451</v>
      </c>
    </row>
    <row r="211" spans="1:21" ht="41.25" customHeight="1">
      <c r="A211" s="100">
        <v>4</v>
      </c>
      <c r="B211" s="103" t="s">
        <v>157</v>
      </c>
      <c r="C211" s="93" t="s">
        <v>18</v>
      </c>
      <c r="D211" s="46" t="s">
        <v>1671</v>
      </c>
      <c r="E211" s="97" t="s">
        <v>1672</v>
      </c>
      <c r="F211" s="103" t="s">
        <v>159</v>
      </c>
      <c r="G211" s="47" t="s">
        <v>1656</v>
      </c>
      <c r="H211" s="47" t="s">
        <v>1660</v>
      </c>
      <c r="I211" s="47"/>
      <c r="J211" s="98">
        <v>15</v>
      </c>
      <c r="K211" s="98">
        <v>450</v>
      </c>
      <c r="L211" s="48"/>
      <c r="M211" s="48"/>
      <c r="N211" s="99" t="s">
        <v>206</v>
      </c>
      <c r="O211" s="98"/>
      <c r="P211" s="98"/>
      <c r="Q211" s="98"/>
      <c r="R211" s="98">
        <v>395.62</v>
      </c>
      <c r="S211" s="98">
        <v>15</v>
      </c>
      <c r="T211" s="144"/>
      <c r="U211" s="106" t="s">
        <v>143</v>
      </c>
    </row>
    <row r="212" spans="1:21" ht="72">
      <c r="A212" s="93">
        <v>1</v>
      </c>
      <c r="B212" s="103" t="s">
        <v>244</v>
      </c>
      <c r="C212" s="93" t="s">
        <v>18</v>
      </c>
      <c r="D212" s="36" t="s">
        <v>1740</v>
      </c>
      <c r="E212" s="113" t="s">
        <v>1718</v>
      </c>
      <c r="F212" s="103" t="s">
        <v>135</v>
      </c>
      <c r="G212" s="53" t="s">
        <v>1708</v>
      </c>
      <c r="H212" s="53" t="s">
        <v>1650</v>
      </c>
      <c r="I212" s="107" t="s">
        <v>1741</v>
      </c>
      <c r="J212" s="104">
        <v>7</v>
      </c>
      <c r="K212" s="104">
        <v>157.11</v>
      </c>
      <c r="L212" s="104" t="s">
        <v>1742</v>
      </c>
      <c r="M212" s="104" t="s">
        <v>1743</v>
      </c>
      <c r="N212" s="104"/>
      <c r="O212" s="104">
        <v>66.38</v>
      </c>
      <c r="P212" s="104"/>
      <c r="Q212" s="104">
        <f>SUM(O212:P212)</f>
        <v>66.38</v>
      </c>
      <c r="R212" s="104">
        <f>102.12+9.94</f>
        <v>112.06</v>
      </c>
      <c r="S212" s="104">
        <v>6.8</v>
      </c>
      <c r="T212" s="106" t="s">
        <v>284</v>
      </c>
      <c r="U212" s="105" t="s">
        <v>143</v>
      </c>
    </row>
    <row r="213" spans="1:21" ht="62.25">
      <c r="A213" s="93">
        <v>1</v>
      </c>
      <c r="B213" s="103" t="s">
        <v>279</v>
      </c>
      <c r="C213" s="93" t="s">
        <v>18</v>
      </c>
      <c r="D213" s="37" t="s">
        <v>1747</v>
      </c>
      <c r="E213" s="113" t="s">
        <v>1652</v>
      </c>
      <c r="F213" s="103" t="s">
        <v>135</v>
      </c>
      <c r="G213" s="103" t="s">
        <v>18</v>
      </c>
      <c r="H213" s="103" t="s">
        <v>1650</v>
      </c>
      <c r="I213" s="103" t="s">
        <v>1748</v>
      </c>
      <c r="J213" s="116">
        <v>10</v>
      </c>
      <c r="K213" s="104">
        <v>349.61</v>
      </c>
      <c r="L213" s="103" t="s">
        <v>1749</v>
      </c>
      <c r="M213" s="103" t="s">
        <v>1750</v>
      </c>
      <c r="N213" s="103"/>
      <c r="O213" s="104">
        <v>219.17</v>
      </c>
      <c r="P213" s="104"/>
      <c r="Q213" s="104">
        <f aca="true" t="shared" si="1" ref="Q213:Q220">SUM(O213:P213)</f>
        <v>219.17</v>
      </c>
      <c r="R213" s="104">
        <v>182.34</v>
      </c>
      <c r="S213" s="104">
        <v>9.5</v>
      </c>
      <c r="T213" s="105" t="s">
        <v>284</v>
      </c>
      <c r="U213" s="215" t="s">
        <v>143</v>
      </c>
    </row>
    <row r="214" spans="1:21" ht="62.25">
      <c r="A214" s="93">
        <v>2</v>
      </c>
      <c r="B214" s="103" t="s">
        <v>279</v>
      </c>
      <c r="C214" s="93" t="s">
        <v>18</v>
      </c>
      <c r="D214" s="37" t="s">
        <v>1751</v>
      </c>
      <c r="E214" s="113" t="s">
        <v>1655</v>
      </c>
      <c r="F214" s="103" t="s">
        <v>135</v>
      </c>
      <c r="G214" s="103" t="s">
        <v>18</v>
      </c>
      <c r="H214" s="103" t="s">
        <v>1650</v>
      </c>
      <c r="I214" s="103" t="s">
        <v>1748</v>
      </c>
      <c r="J214" s="116">
        <v>10</v>
      </c>
      <c r="K214" s="104">
        <v>346.35</v>
      </c>
      <c r="L214" s="103" t="s">
        <v>1749</v>
      </c>
      <c r="M214" s="103" t="s">
        <v>1750</v>
      </c>
      <c r="N214" s="103"/>
      <c r="O214" s="104">
        <v>217.23</v>
      </c>
      <c r="P214" s="104"/>
      <c r="Q214" s="104">
        <f t="shared" si="1"/>
        <v>217.23</v>
      </c>
      <c r="R214" s="104">
        <v>10.9</v>
      </c>
      <c r="S214" s="104"/>
      <c r="T214" s="105" t="s">
        <v>284</v>
      </c>
      <c r="U214" s="215"/>
    </row>
    <row r="215" spans="1:21" ht="62.25">
      <c r="A215" s="93">
        <v>3</v>
      </c>
      <c r="B215" s="103" t="s">
        <v>279</v>
      </c>
      <c r="C215" s="93" t="s">
        <v>18</v>
      </c>
      <c r="D215" s="37" t="s">
        <v>1752</v>
      </c>
      <c r="E215" s="113" t="s">
        <v>1676</v>
      </c>
      <c r="F215" s="103" t="s">
        <v>135</v>
      </c>
      <c r="G215" s="103" t="s">
        <v>18</v>
      </c>
      <c r="H215" s="103" t="s">
        <v>1650</v>
      </c>
      <c r="I215" s="103" t="s">
        <v>1748</v>
      </c>
      <c r="J215" s="116">
        <v>12</v>
      </c>
      <c r="K215" s="104">
        <v>420.52</v>
      </c>
      <c r="L215" s="103" t="s">
        <v>1749</v>
      </c>
      <c r="M215" s="103" t="s">
        <v>1750</v>
      </c>
      <c r="N215" s="103"/>
      <c r="O215" s="104">
        <v>263.6</v>
      </c>
      <c r="P215" s="104"/>
      <c r="Q215" s="104">
        <f t="shared" si="1"/>
        <v>263.6</v>
      </c>
      <c r="R215" s="104">
        <f>40.06+18.85</f>
        <v>58.910000000000004</v>
      </c>
      <c r="S215" s="104">
        <v>10.7</v>
      </c>
      <c r="T215" s="105" t="s">
        <v>284</v>
      </c>
      <c r="U215" s="215"/>
    </row>
    <row r="216" spans="1:21" ht="93">
      <c r="A216" s="93">
        <v>1</v>
      </c>
      <c r="B216" s="103" t="s">
        <v>279</v>
      </c>
      <c r="C216" s="93" t="s">
        <v>18</v>
      </c>
      <c r="D216" s="37" t="s">
        <v>1756</v>
      </c>
      <c r="E216" s="113" t="s">
        <v>1718</v>
      </c>
      <c r="F216" s="103" t="s">
        <v>135</v>
      </c>
      <c r="G216" s="103" t="s">
        <v>1656</v>
      </c>
      <c r="H216" s="103" t="s">
        <v>1660</v>
      </c>
      <c r="I216" s="103" t="s">
        <v>864</v>
      </c>
      <c r="J216" s="116">
        <v>14</v>
      </c>
      <c r="K216" s="104">
        <v>679.71</v>
      </c>
      <c r="L216" s="103" t="s">
        <v>1757</v>
      </c>
      <c r="M216" s="103" t="s">
        <v>1758</v>
      </c>
      <c r="N216" s="103"/>
      <c r="O216" s="104">
        <v>396.32</v>
      </c>
      <c r="P216" s="104"/>
      <c r="Q216" s="104">
        <f t="shared" si="1"/>
        <v>396.32</v>
      </c>
      <c r="R216" s="104">
        <f>425.18+0</f>
        <v>425.18</v>
      </c>
      <c r="S216" s="104">
        <v>14</v>
      </c>
      <c r="T216" s="105" t="s">
        <v>284</v>
      </c>
      <c r="U216" s="105" t="s">
        <v>143</v>
      </c>
    </row>
    <row r="217" spans="1:21" ht="140.25">
      <c r="A217" s="93">
        <v>2</v>
      </c>
      <c r="B217" s="103" t="s">
        <v>279</v>
      </c>
      <c r="C217" s="93" t="s">
        <v>18</v>
      </c>
      <c r="D217" s="37" t="s">
        <v>1778</v>
      </c>
      <c r="E217" s="113" t="s">
        <v>1779</v>
      </c>
      <c r="F217" s="104" t="s">
        <v>175</v>
      </c>
      <c r="G217" s="103" t="s">
        <v>1708</v>
      </c>
      <c r="H217" s="103" t="s">
        <v>1650</v>
      </c>
      <c r="I217" s="103" t="s">
        <v>1780</v>
      </c>
      <c r="J217" s="116" t="s">
        <v>141</v>
      </c>
      <c r="K217" s="104">
        <v>124.8</v>
      </c>
      <c r="L217" s="103" t="s">
        <v>1742</v>
      </c>
      <c r="M217" s="103" t="s">
        <v>1743</v>
      </c>
      <c r="N217" s="103"/>
      <c r="O217" s="104">
        <v>89.66</v>
      </c>
      <c r="P217" s="104"/>
      <c r="Q217" s="104">
        <f t="shared" si="1"/>
        <v>89.66</v>
      </c>
      <c r="R217" s="104">
        <v>53.47</v>
      </c>
      <c r="S217" s="104" t="s">
        <v>141</v>
      </c>
      <c r="T217" s="105" t="s">
        <v>284</v>
      </c>
      <c r="U217" s="105" t="s">
        <v>143</v>
      </c>
    </row>
    <row r="218" spans="1:21" ht="171">
      <c r="A218" s="97" t="s">
        <v>1803</v>
      </c>
      <c r="B218" s="103" t="s">
        <v>313</v>
      </c>
      <c r="C218" s="93" t="s">
        <v>18</v>
      </c>
      <c r="D218" s="69" t="s">
        <v>1804</v>
      </c>
      <c r="E218" s="93" t="s">
        <v>1670</v>
      </c>
      <c r="F218" s="103" t="s">
        <v>175</v>
      </c>
      <c r="G218" s="126" t="s">
        <v>18</v>
      </c>
      <c r="H218" s="103" t="s">
        <v>1650</v>
      </c>
      <c r="I218" s="126" t="s">
        <v>1748</v>
      </c>
      <c r="J218" s="59" t="s">
        <v>141</v>
      </c>
      <c r="K218" s="104">
        <v>241.12</v>
      </c>
      <c r="L218" s="104" t="s">
        <v>1749</v>
      </c>
      <c r="M218" s="104" t="s">
        <v>1750</v>
      </c>
      <c r="N218" s="104"/>
      <c r="O218" s="104">
        <v>168.3</v>
      </c>
      <c r="P218" s="104"/>
      <c r="Q218" s="104">
        <f t="shared" si="1"/>
        <v>168.3</v>
      </c>
      <c r="R218" s="104">
        <v>168</v>
      </c>
      <c r="S218" s="104"/>
      <c r="T218" s="56" t="s">
        <v>284</v>
      </c>
      <c r="U218" s="56" t="s">
        <v>976</v>
      </c>
    </row>
    <row r="219" spans="1:21" ht="171">
      <c r="A219" s="97" t="s">
        <v>1000</v>
      </c>
      <c r="B219" s="103" t="s">
        <v>313</v>
      </c>
      <c r="C219" s="93" t="s">
        <v>18</v>
      </c>
      <c r="D219" s="69" t="s">
        <v>1805</v>
      </c>
      <c r="E219" s="93" t="s">
        <v>1672</v>
      </c>
      <c r="F219" s="103" t="s">
        <v>175</v>
      </c>
      <c r="G219" s="126" t="s">
        <v>18</v>
      </c>
      <c r="H219" s="103" t="s">
        <v>1650</v>
      </c>
      <c r="I219" s="126" t="s">
        <v>1748</v>
      </c>
      <c r="J219" s="59" t="s">
        <v>141</v>
      </c>
      <c r="K219" s="104">
        <v>243.73</v>
      </c>
      <c r="L219" s="104" t="s">
        <v>1749</v>
      </c>
      <c r="M219" s="104" t="s">
        <v>1750</v>
      </c>
      <c r="N219" s="104"/>
      <c r="O219" s="104">
        <v>170.13</v>
      </c>
      <c r="P219" s="104"/>
      <c r="Q219" s="104">
        <f t="shared" si="1"/>
        <v>170.13</v>
      </c>
      <c r="R219" s="104">
        <v>140.35</v>
      </c>
      <c r="S219" s="104"/>
      <c r="T219" s="56" t="s">
        <v>284</v>
      </c>
      <c r="U219" s="56" t="s">
        <v>976</v>
      </c>
    </row>
    <row r="220" spans="1:21" ht="132">
      <c r="A220" s="93">
        <v>8</v>
      </c>
      <c r="B220" s="103" t="s">
        <v>313</v>
      </c>
      <c r="C220" s="93" t="s">
        <v>18</v>
      </c>
      <c r="D220" s="69" t="s">
        <v>1806</v>
      </c>
      <c r="E220" s="93" t="s">
        <v>1718</v>
      </c>
      <c r="F220" s="103" t="s">
        <v>175</v>
      </c>
      <c r="G220" s="126" t="s">
        <v>18</v>
      </c>
      <c r="H220" s="103" t="s">
        <v>1650</v>
      </c>
      <c r="I220" s="126" t="s">
        <v>1748</v>
      </c>
      <c r="J220" s="59" t="s">
        <v>141</v>
      </c>
      <c r="K220" s="104">
        <v>118.47</v>
      </c>
      <c r="L220" s="104" t="s">
        <v>1749</v>
      </c>
      <c r="M220" s="104" t="s">
        <v>1750</v>
      </c>
      <c r="N220" s="104"/>
      <c r="O220" s="104">
        <v>82.7</v>
      </c>
      <c r="P220" s="104"/>
      <c r="Q220" s="104">
        <f t="shared" si="1"/>
        <v>82.7</v>
      </c>
      <c r="R220" s="104">
        <v>21.12</v>
      </c>
      <c r="S220" s="104"/>
      <c r="T220" s="56" t="s">
        <v>284</v>
      </c>
      <c r="U220" s="56" t="s">
        <v>976</v>
      </c>
    </row>
    <row r="221" spans="1:21" ht="66">
      <c r="A221" s="93">
        <v>9</v>
      </c>
      <c r="B221" s="103" t="s">
        <v>395</v>
      </c>
      <c r="C221" s="93" t="s">
        <v>18</v>
      </c>
      <c r="D221" s="136" t="s">
        <v>1816</v>
      </c>
      <c r="E221" s="146" t="s">
        <v>1652</v>
      </c>
      <c r="F221" s="146" t="s">
        <v>159</v>
      </c>
      <c r="G221" s="146" t="s">
        <v>18</v>
      </c>
      <c r="H221" s="131" t="s">
        <v>1650</v>
      </c>
      <c r="I221" s="131" t="s">
        <v>402</v>
      </c>
      <c r="J221" s="131">
        <v>15</v>
      </c>
      <c r="K221" s="131">
        <v>542.57</v>
      </c>
      <c r="L221" s="131" t="s">
        <v>1069</v>
      </c>
      <c r="M221" s="131" t="s">
        <v>1070</v>
      </c>
      <c r="N221" s="131"/>
      <c r="O221" s="93"/>
      <c r="P221" s="93"/>
      <c r="Q221" s="131">
        <v>479.23</v>
      </c>
      <c r="R221" s="131">
        <v>313.05</v>
      </c>
      <c r="S221" s="131">
        <v>3.9</v>
      </c>
      <c r="T221" s="131" t="s">
        <v>400</v>
      </c>
      <c r="U221" s="93"/>
    </row>
    <row r="222" spans="1:21" ht="92.25">
      <c r="A222" s="93">
        <v>10</v>
      </c>
      <c r="B222" s="103" t="s">
        <v>415</v>
      </c>
      <c r="C222" s="93" t="s">
        <v>18</v>
      </c>
      <c r="D222" s="64" t="s">
        <v>1843</v>
      </c>
      <c r="E222" s="200" t="s">
        <v>1676</v>
      </c>
      <c r="F222" s="146" t="s">
        <v>175</v>
      </c>
      <c r="G222" s="146" t="s">
        <v>18</v>
      </c>
      <c r="H222" s="147" t="s">
        <v>1650</v>
      </c>
      <c r="I222" s="238" t="s">
        <v>1844</v>
      </c>
      <c r="J222" s="131" t="s">
        <v>141</v>
      </c>
      <c r="K222" s="131">
        <v>104.37</v>
      </c>
      <c r="L222" s="63" t="s">
        <v>1845</v>
      </c>
      <c r="M222" s="63" t="s">
        <v>1846</v>
      </c>
      <c r="N222" s="63"/>
      <c r="O222" s="93"/>
      <c r="P222" s="93"/>
      <c r="Q222" s="98">
        <v>103.99</v>
      </c>
      <c r="R222" s="98">
        <f>12.94</f>
        <v>12.94</v>
      </c>
      <c r="S222" s="98"/>
      <c r="T222" s="63" t="s">
        <v>400</v>
      </c>
      <c r="U222" s="63" t="s">
        <v>141</v>
      </c>
    </row>
    <row r="223" spans="1:21" ht="92.25">
      <c r="A223" s="93">
        <v>11</v>
      </c>
      <c r="B223" s="103" t="s">
        <v>415</v>
      </c>
      <c r="C223" s="93" t="s">
        <v>18</v>
      </c>
      <c r="D223" s="64" t="s">
        <v>1847</v>
      </c>
      <c r="E223" s="200"/>
      <c r="F223" s="146" t="s">
        <v>175</v>
      </c>
      <c r="G223" s="146" t="s">
        <v>18</v>
      </c>
      <c r="H223" s="147" t="s">
        <v>1650</v>
      </c>
      <c r="I223" s="238"/>
      <c r="J223" s="131" t="s">
        <v>141</v>
      </c>
      <c r="K223" s="131">
        <v>104.38</v>
      </c>
      <c r="L223" s="63" t="s">
        <v>1845</v>
      </c>
      <c r="M223" s="63" t="s">
        <v>1846</v>
      </c>
      <c r="N223" s="63"/>
      <c r="O223" s="93"/>
      <c r="P223" s="93"/>
      <c r="Q223" s="98">
        <v>101.59</v>
      </c>
      <c r="R223" s="98">
        <v>104.86</v>
      </c>
      <c r="S223" s="98"/>
      <c r="T223" s="63" t="s">
        <v>400</v>
      </c>
      <c r="U223" s="63" t="s">
        <v>141</v>
      </c>
    </row>
    <row r="224" spans="1:21" ht="105" customHeight="1">
      <c r="A224" s="93">
        <v>2</v>
      </c>
      <c r="B224" s="103" t="s">
        <v>415</v>
      </c>
      <c r="C224" s="93" t="s">
        <v>18</v>
      </c>
      <c r="D224" s="64" t="s">
        <v>1850</v>
      </c>
      <c r="E224" s="146"/>
      <c r="F224" s="146" t="s">
        <v>175</v>
      </c>
      <c r="G224" s="146" t="s">
        <v>1656</v>
      </c>
      <c r="H224" s="147" t="s">
        <v>1660</v>
      </c>
      <c r="I224" s="147" t="s">
        <v>1849</v>
      </c>
      <c r="J224" s="131" t="s">
        <v>141</v>
      </c>
      <c r="K224" s="131">
        <v>101.05</v>
      </c>
      <c r="L224" s="63" t="s">
        <v>1841</v>
      </c>
      <c r="M224" s="63" t="s">
        <v>1842</v>
      </c>
      <c r="N224" s="63"/>
      <c r="O224" s="93"/>
      <c r="P224" s="93"/>
      <c r="Q224" s="98">
        <v>100.01</v>
      </c>
      <c r="R224" s="98">
        <v>55.81</v>
      </c>
      <c r="S224" s="98"/>
      <c r="T224" s="63" t="s">
        <v>400</v>
      </c>
      <c r="U224" s="63" t="s">
        <v>141</v>
      </c>
    </row>
    <row r="225" spans="1:21" ht="105">
      <c r="A225" s="93">
        <v>1</v>
      </c>
      <c r="B225" s="103" t="s">
        <v>445</v>
      </c>
      <c r="C225" s="93" t="s">
        <v>18</v>
      </c>
      <c r="D225" s="66" t="s">
        <v>1851</v>
      </c>
      <c r="E225" s="43" t="s">
        <v>1670</v>
      </c>
      <c r="F225" s="43" t="s">
        <v>391</v>
      </c>
      <c r="G225" s="43" t="s">
        <v>1659</v>
      </c>
      <c r="H225" s="43" t="s">
        <v>1660</v>
      </c>
      <c r="I225" s="142" t="s">
        <v>379</v>
      </c>
      <c r="J225" s="67">
        <v>6.002</v>
      </c>
      <c r="K225" s="70">
        <v>246.53</v>
      </c>
      <c r="L225" s="142" t="s">
        <v>1518</v>
      </c>
      <c r="M225" s="142" t="s">
        <v>103</v>
      </c>
      <c r="N225" s="148"/>
      <c r="O225" s="93"/>
      <c r="P225" s="93"/>
      <c r="Q225" s="70">
        <v>280.45</v>
      </c>
      <c r="R225" s="70">
        <v>119.96</v>
      </c>
      <c r="S225" s="70">
        <v>3.15</v>
      </c>
      <c r="T225" s="142" t="s">
        <v>400</v>
      </c>
      <c r="U225" s="142"/>
    </row>
    <row r="226" spans="1:21" ht="78.75">
      <c r="A226" s="93">
        <v>1</v>
      </c>
      <c r="B226" s="103" t="s">
        <v>445</v>
      </c>
      <c r="C226" s="93" t="s">
        <v>18</v>
      </c>
      <c r="D226" s="66" t="s">
        <v>1852</v>
      </c>
      <c r="E226" s="43" t="s">
        <v>1853</v>
      </c>
      <c r="F226" s="43" t="s">
        <v>391</v>
      </c>
      <c r="G226" s="43" t="s">
        <v>1708</v>
      </c>
      <c r="H226" s="113" t="s">
        <v>18</v>
      </c>
      <c r="I226" s="142"/>
      <c r="J226" s="67">
        <v>12.04</v>
      </c>
      <c r="K226" s="142">
        <v>609.01</v>
      </c>
      <c r="L226" s="142"/>
      <c r="M226" s="142"/>
      <c r="N226" s="68"/>
      <c r="O226" s="93"/>
      <c r="P226" s="93"/>
      <c r="Q226" s="142"/>
      <c r="R226" s="142"/>
      <c r="S226" s="142"/>
      <c r="T226" s="142" t="s">
        <v>777</v>
      </c>
      <c r="U226" s="142" t="s">
        <v>1108</v>
      </c>
    </row>
    <row r="227" spans="1:21" ht="66">
      <c r="A227" s="93">
        <v>1</v>
      </c>
      <c r="B227" s="103" t="s">
        <v>445</v>
      </c>
      <c r="C227" s="93" t="s">
        <v>18</v>
      </c>
      <c r="D227" s="66" t="s">
        <v>1854</v>
      </c>
      <c r="E227" s="43" t="s">
        <v>1776</v>
      </c>
      <c r="F227" s="43" t="s">
        <v>391</v>
      </c>
      <c r="G227" s="43" t="s">
        <v>18</v>
      </c>
      <c r="H227" s="113" t="s">
        <v>18</v>
      </c>
      <c r="I227" s="142"/>
      <c r="J227" s="67">
        <v>12.892</v>
      </c>
      <c r="K227" s="70">
        <v>592.65</v>
      </c>
      <c r="L227" s="142"/>
      <c r="M227" s="142"/>
      <c r="N227" s="148"/>
      <c r="O227" s="93"/>
      <c r="P227" s="93"/>
      <c r="Q227" s="70"/>
      <c r="R227" s="70"/>
      <c r="S227" s="70"/>
      <c r="T227" s="142" t="s">
        <v>777</v>
      </c>
      <c r="U227" s="142" t="s">
        <v>1108</v>
      </c>
    </row>
    <row r="228" spans="1:21" ht="66">
      <c r="A228" s="93">
        <v>3</v>
      </c>
      <c r="B228" s="103" t="s">
        <v>462</v>
      </c>
      <c r="C228" s="93" t="s">
        <v>18</v>
      </c>
      <c r="D228" s="124" t="s">
        <v>1855</v>
      </c>
      <c r="E228" s="43" t="s">
        <v>1672</v>
      </c>
      <c r="F228" s="43" t="s">
        <v>159</v>
      </c>
      <c r="G228" s="43" t="s">
        <v>1656</v>
      </c>
      <c r="H228" s="43" t="s">
        <v>1660</v>
      </c>
      <c r="I228" s="142" t="s">
        <v>459</v>
      </c>
      <c r="J228" s="67">
        <v>8</v>
      </c>
      <c r="K228" s="142">
        <v>336.81</v>
      </c>
      <c r="L228" s="70" t="s">
        <v>1856</v>
      </c>
      <c r="M228" s="70" t="s">
        <v>1857</v>
      </c>
      <c r="N228" s="142"/>
      <c r="O228" s="93"/>
      <c r="P228" s="93"/>
      <c r="Q228" s="142">
        <v>291.23</v>
      </c>
      <c r="R228" s="142">
        <v>99.45</v>
      </c>
      <c r="S228" s="142"/>
      <c r="T228" s="142" t="s">
        <v>400</v>
      </c>
      <c r="U228" s="142" t="s">
        <v>451</v>
      </c>
    </row>
    <row r="229" spans="1:21" ht="66">
      <c r="A229" s="93">
        <v>12</v>
      </c>
      <c r="B229" s="103" t="s">
        <v>462</v>
      </c>
      <c r="C229" s="93" t="s">
        <v>18</v>
      </c>
      <c r="D229" s="124" t="s">
        <v>1858</v>
      </c>
      <c r="E229" s="43" t="s">
        <v>1718</v>
      </c>
      <c r="F229" s="43" t="s">
        <v>159</v>
      </c>
      <c r="G229" s="43" t="s">
        <v>18</v>
      </c>
      <c r="H229" s="113" t="s">
        <v>18</v>
      </c>
      <c r="I229" s="142"/>
      <c r="J229" s="67">
        <v>5.8</v>
      </c>
      <c r="K229" s="142">
        <v>252.48</v>
      </c>
      <c r="L229" s="142"/>
      <c r="M229" s="142"/>
      <c r="N229" s="142"/>
      <c r="O229" s="93"/>
      <c r="P229" s="93"/>
      <c r="Q229" s="142">
        <v>252.48</v>
      </c>
      <c r="R229" s="142"/>
      <c r="S229" s="142"/>
      <c r="T229" s="63" t="s">
        <v>400</v>
      </c>
      <c r="U229" s="142" t="s">
        <v>451</v>
      </c>
    </row>
    <row r="230" spans="1:21" ht="66">
      <c r="A230" s="93">
        <v>13</v>
      </c>
      <c r="B230" s="103" t="s">
        <v>462</v>
      </c>
      <c r="C230" s="93" t="s">
        <v>18</v>
      </c>
      <c r="D230" s="124" t="s">
        <v>1859</v>
      </c>
      <c r="E230" s="43" t="s">
        <v>1771</v>
      </c>
      <c r="F230" s="43" t="s">
        <v>159</v>
      </c>
      <c r="G230" s="43" t="s">
        <v>18</v>
      </c>
      <c r="H230" s="43" t="s">
        <v>1660</v>
      </c>
      <c r="I230" s="142"/>
      <c r="J230" s="67">
        <v>5.58</v>
      </c>
      <c r="K230" s="142">
        <v>275.54</v>
      </c>
      <c r="L230" s="142" t="s">
        <v>1860</v>
      </c>
      <c r="M230" s="142" t="s">
        <v>1861</v>
      </c>
      <c r="N230" s="142"/>
      <c r="O230" s="93"/>
      <c r="P230" s="93"/>
      <c r="Q230" s="142">
        <v>257.95</v>
      </c>
      <c r="R230" s="142">
        <v>179.58</v>
      </c>
      <c r="S230" s="142">
        <v>5.58</v>
      </c>
      <c r="T230" s="142" t="s">
        <v>400</v>
      </c>
      <c r="U230" s="142" t="s">
        <v>451</v>
      </c>
    </row>
    <row r="231" spans="1:21" ht="46.5">
      <c r="A231" s="93">
        <v>1</v>
      </c>
      <c r="B231" s="103" t="s">
        <v>279</v>
      </c>
      <c r="C231" s="93" t="s">
        <v>19</v>
      </c>
      <c r="D231" s="37" t="s">
        <v>2003</v>
      </c>
      <c r="E231" s="113" t="s">
        <v>1863</v>
      </c>
      <c r="F231" s="103" t="s">
        <v>135</v>
      </c>
      <c r="G231" s="103" t="s">
        <v>1872</v>
      </c>
      <c r="H231" s="103" t="s">
        <v>1864</v>
      </c>
      <c r="I231" s="103" t="s">
        <v>824</v>
      </c>
      <c r="J231" s="104">
        <v>11</v>
      </c>
      <c r="K231" s="104">
        <v>452.1</v>
      </c>
      <c r="L231" s="142" t="s">
        <v>2004</v>
      </c>
      <c r="M231" s="142" t="s">
        <v>2005</v>
      </c>
      <c r="N231" s="103"/>
      <c r="O231" s="104">
        <v>357.52</v>
      </c>
      <c r="P231" s="104"/>
      <c r="Q231" s="104">
        <f>SUM(O231:P231)</f>
        <v>357.52</v>
      </c>
      <c r="R231" s="104">
        <f>-41.02+122.27</f>
        <v>81.25</v>
      </c>
      <c r="S231" s="104">
        <v>6</v>
      </c>
      <c r="T231" s="105" t="s">
        <v>284</v>
      </c>
      <c r="U231" s="105" t="s">
        <v>143</v>
      </c>
    </row>
    <row r="232" spans="1:21" ht="62.25">
      <c r="A232" s="93">
        <v>1</v>
      </c>
      <c r="B232" s="103" t="s">
        <v>279</v>
      </c>
      <c r="C232" s="93" t="s">
        <v>19</v>
      </c>
      <c r="D232" s="37" t="s">
        <v>2020</v>
      </c>
      <c r="E232" s="113" t="s">
        <v>1928</v>
      </c>
      <c r="F232" s="104" t="s">
        <v>159</v>
      </c>
      <c r="G232" s="103" t="s">
        <v>1869</v>
      </c>
      <c r="H232" s="103" t="s">
        <v>1869</v>
      </c>
      <c r="I232" s="103" t="s">
        <v>824</v>
      </c>
      <c r="J232" s="96">
        <v>10.31</v>
      </c>
      <c r="K232" s="96">
        <v>401.92</v>
      </c>
      <c r="L232" s="142" t="s">
        <v>1984</v>
      </c>
      <c r="M232" s="142" t="s">
        <v>2021</v>
      </c>
      <c r="N232" s="103"/>
      <c r="O232" s="104">
        <v>416.37</v>
      </c>
      <c r="P232" s="104"/>
      <c r="Q232" s="104">
        <f>SUM(O232:P232)</f>
        <v>416.37</v>
      </c>
      <c r="R232" s="104">
        <v>359.67</v>
      </c>
      <c r="S232" s="104">
        <v>9.31</v>
      </c>
      <c r="T232" s="105" t="s">
        <v>284</v>
      </c>
      <c r="U232" s="105" t="s">
        <v>261</v>
      </c>
    </row>
    <row r="233" spans="1:21" ht="118.5">
      <c r="A233" s="93">
        <v>1</v>
      </c>
      <c r="B233" s="103" t="s">
        <v>313</v>
      </c>
      <c r="C233" s="93" t="s">
        <v>19</v>
      </c>
      <c r="D233" s="69" t="s">
        <v>2037</v>
      </c>
      <c r="E233" s="93" t="s">
        <v>1871</v>
      </c>
      <c r="F233" s="103" t="s">
        <v>135</v>
      </c>
      <c r="G233" s="126" t="s">
        <v>19</v>
      </c>
      <c r="H233" s="126" t="s">
        <v>1864</v>
      </c>
      <c r="I233" s="126" t="s">
        <v>2038</v>
      </c>
      <c r="J233" s="104">
        <v>16.8</v>
      </c>
      <c r="K233" s="104">
        <v>415.03</v>
      </c>
      <c r="L233" s="142" t="s">
        <v>2034</v>
      </c>
      <c r="M233" s="142" t="s">
        <v>2035</v>
      </c>
      <c r="N233" s="104"/>
      <c r="O233" s="104">
        <v>256.79</v>
      </c>
      <c r="P233" s="104"/>
      <c r="Q233" s="104">
        <f aca="true" t="shared" si="2" ref="Q233:Q238">SUM(O233:P233)</f>
        <v>256.79</v>
      </c>
      <c r="R233" s="104">
        <f>23.11+179.5</f>
        <v>202.61</v>
      </c>
      <c r="S233" s="104">
        <v>16.8</v>
      </c>
      <c r="T233" s="56" t="s">
        <v>284</v>
      </c>
      <c r="U233" s="56" t="s">
        <v>261</v>
      </c>
    </row>
    <row r="234" spans="1:21" ht="144.75">
      <c r="A234" s="93">
        <v>1</v>
      </c>
      <c r="B234" s="103" t="s">
        <v>313</v>
      </c>
      <c r="C234" s="93" t="s">
        <v>19</v>
      </c>
      <c r="D234" s="69" t="s">
        <v>2043</v>
      </c>
      <c r="E234" s="93" t="s">
        <v>1933</v>
      </c>
      <c r="F234" s="103" t="s">
        <v>175</v>
      </c>
      <c r="G234" s="126" t="s">
        <v>1891</v>
      </c>
      <c r="H234" s="103" t="s">
        <v>2007</v>
      </c>
      <c r="I234" s="126" t="s">
        <v>372</v>
      </c>
      <c r="J234" s="115" t="s">
        <v>141</v>
      </c>
      <c r="K234" s="104">
        <v>53.98</v>
      </c>
      <c r="L234" s="142" t="s">
        <v>2044</v>
      </c>
      <c r="M234" s="142" t="s">
        <v>1809</v>
      </c>
      <c r="N234" s="104"/>
      <c r="O234" s="104">
        <v>46.18</v>
      </c>
      <c r="P234" s="104"/>
      <c r="Q234" s="104">
        <f t="shared" si="2"/>
        <v>46.18</v>
      </c>
      <c r="R234" s="104">
        <v>46.39</v>
      </c>
      <c r="S234" s="104"/>
      <c r="T234" s="56" t="s">
        <v>284</v>
      </c>
      <c r="U234" s="56" t="s">
        <v>261</v>
      </c>
    </row>
    <row r="235" spans="1:21" ht="92.25" customHeight="1">
      <c r="A235" s="93">
        <v>1</v>
      </c>
      <c r="B235" s="103" t="s">
        <v>313</v>
      </c>
      <c r="C235" s="93" t="s">
        <v>19</v>
      </c>
      <c r="D235" s="69" t="s">
        <v>2053</v>
      </c>
      <c r="E235" s="97" t="s">
        <v>1947</v>
      </c>
      <c r="F235" s="103" t="s">
        <v>159</v>
      </c>
      <c r="G235" s="126" t="s">
        <v>2007</v>
      </c>
      <c r="H235" s="103" t="s">
        <v>2007</v>
      </c>
      <c r="I235" s="126"/>
      <c r="J235" s="104">
        <v>4.5</v>
      </c>
      <c r="K235" s="104">
        <v>146.14</v>
      </c>
      <c r="L235" s="142" t="s">
        <v>2040</v>
      </c>
      <c r="M235" s="142" t="s">
        <v>1773</v>
      </c>
      <c r="N235" s="104"/>
      <c r="O235" s="104">
        <v>107.74</v>
      </c>
      <c r="P235" s="104"/>
      <c r="Q235" s="104">
        <f t="shared" si="2"/>
        <v>107.74</v>
      </c>
      <c r="R235" s="104">
        <v>82.52</v>
      </c>
      <c r="S235" s="104">
        <v>4.25</v>
      </c>
      <c r="T235" s="56" t="s">
        <v>284</v>
      </c>
      <c r="U235" s="56" t="s">
        <v>261</v>
      </c>
    </row>
    <row r="236" spans="1:21" ht="78.75">
      <c r="A236" s="93">
        <v>2</v>
      </c>
      <c r="B236" s="103" t="s">
        <v>313</v>
      </c>
      <c r="C236" s="93" t="s">
        <v>19</v>
      </c>
      <c r="D236" s="69" t="s">
        <v>2054</v>
      </c>
      <c r="E236" s="97" t="s">
        <v>1994</v>
      </c>
      <c r="F236" s="103" t="s">
        <v>159</v>
      </c>
      <c r="G236" s="126" t="s">
        <v>1891</v>
      </c>
      <c r="H236" s="103" t="s">
        <v>2007</v>
      </c>
      <c r="I236" s="126" t="s">
        <v>281</v>
      </c>
      <c r="J236" s="104">
        <v>22.4</v>
      </c>
      <c r="K236" s="104">
        <v>640.61</v>
      </c>
      <c r="L236" s="142" t="s">
        <v>1793</v>
      </c>
      <c r="M236" s="142" t="s">
        <v>2055</v>
      </c>
      <c r="N236" s="104"/>
      <c r="O236" s="104">
        <v>533.74</v>
      </c>
      <c r="P236" s="104"/>
      <c r="Q236" s="104">
        <f t="shared" si="2"/>
        <v>533.74</v>
      </c>
      <c r="R236" s="104">
        <v>558.86</v>
      </c>
      <c r="S236" s="104">
        <v>21.62</v>
      </c>
      <c r="T236" s="56" t="s">
        <v>284</v>
      </c>
      <c r="U236" s="56" t="s">
        <v>261</v>
      </c>
    </row>
    <row r="237" spans="1:21" ht="92.25">
      <c r="A237" s="93">
        <v>1</v>
      </c>
      <c r="B237" s="103" t="s">
        <v>313</v>
      </c>
      <c r="C237" s="93" t="s">
        <v>19</v>
      </c>
      <c r="D237" s="69" t="s">
        <v>2059</v>
      </c>
      <c r="E237" s="97" t="s">
        <v>2060</v>
      </c>
      <c r="F237" s="103" t="s">
        <v>391</v>
      </c>
      <c r="G237" s="126" t="s">
        <v>1921</v>
      </c>
      <c r="H237" s="103" t="s">
        <v>2007</v>
      </c>
      <c r="I237" s="126" t="s">
        <v>1027</v>
      </c>
      <c r="J237" s="104">
        <v>10.66</v>
      </c>
      <c r="K237" s="104">
        <v>360.4</v>
      </c>
      <c r="L237" s="142" t="s">
        <v>2034</v>
      </c>
      <c r="M237" s="142" t="s">
        <v>2048</v>
      </c>
      <c r="N237" s="104"/>
      <c r="O237" s="104">
        <v>268.16</v>
      </c>
      <c r="P237" s="104"/>
      <c r="Q237" s="104">
        <f t="shared" si="2"/>
        <v>268.16</v>
      </c>
      <c r="R237" s="104">
        <f>95.41+0.63</f>
        <v>96.03999999999999</v>
      </c>
      <c r="S237" s="104">
        <v>9</v>
      </c>
      <c r="T237" s="56" t="s">
        <v>284</v>
      </c>
      <c r="U237" s="56" t="s">
        <v>261</v>
      </c>
    </row>
    <row r="238" spans="1:21" ht="105">
      <c r="A238" s="93">
        <v>1</v>
      </c>
      <c r="B238" s="103" t="s">
        <v>313</v>
      </c>
      <c r="C238" s="93" t="s">
        <v>19</v>
      </c>
      <c r="D238" s="69" t="s">
        <v>2061</v>
      </c>
      <c r="E238" s="97" t="s">
        <v>2062</v>
      </c>
      <c r="F238" s="103" t="s">
        <v>159</v>
      </c>
      <c r="G238" s="126" t="s">
        <v>2007</v>
      </c>
      <c r="H238" s="103" t="s">
        <v>2007</v>
      </c>
      <c r="I238" s="126" t="s">
        <v>2063</v>
      </c>
      <c r="J238" s="104">
        <v>8.5</v>
      </c>
      <c r="K238" s="104">
        <v>403.35</v>
      </c>
      <c r="L238" s="142" t="s">
        <v>2064</v>
      </c>
      <c r="M238" s="142" t="s">
        <v>2065</v>
      </c>
      <c r="N238" s="104"/>
      <c r="O238" s="104">
        <v>273.72</v>
      </c>
      <c r="P238" s="104"/>
      <c r="Q238" s="104">
        <f t="shared" si="2"/>
        <v>273.72</v>
      </c>
      <c r="R238" s="104">
        <v>139</v>
      </c>
      <c r="S238" s="104"/>
      <c r="T238" s="56" t="s">
        <v>637</v>
      </c>
      <c r="U238" s="56" t="s">
        <v>143</v>
      </c>
    </row>
    <row r="239" spans="1:21" ht="118.5">
      <c r="A239" s="93">
        <v>3</v>
      </c>
      <c r="B239" s="103" t="s">
        <v>313</v>
      </c>
      <c r="C239" s="93" t="s">
        <v>19</v>
      </c>
      <c r="D239" s="69" t="s">
        <v>2066</v>
      </c>
      <c r="E239" s="93" t="s">
        <v>2067</v>
      </c>
      <c r="F239" s="103" t="s">
        <v>175</v>
      </c>
      <c r="G239" s="126" t="s">
        <v>1891</v>
      </c>
      <c r="H239" s="103" t="s">
        <v>2007</v>
      </c>
      <c r="I239" s="126" t="s">
        <v>1027</v>
      </c>
      <c r="J239" s="115" t="s">
        <v>141</v>
      </c>
      <c r="K239" s="104">
        <v>110.52</v>
      </c>
      <c r="L239" s="142" t="s">
        <v>2057</v>
      </c>
      <c r="M239" s="142" t="s">
        <v>2058</v>
      </c>
      <c r="N239" s="104"/>
      <c r="O239" s="104">
        <v>114.04</v>
      </c>
      <c r="P239" s="104"/>
      <c r="Q239" s="104">
        <f>SUM(O239:P239)</f>
        <v>114.04</v>
      </c>
      <c r="R239" s="104">
        <v>7.04</v>
      </c>
      <c r="S239" s="104"/>
      <c r="T239" s="56" t="s">
        <v>284</v>
      </c>
      <c r="U239" s="56" t="s">
        <v>261</v>
      </c>
    </row>
    <row r="240" spans="1:21" ht="78.75">
      <c r="A240" s="93">
        <v>1</v>
      </c>
      <c r="B240" s="103" t="s">
        <v>313</v>
      </c>
      <c r="C240" s="93" t="s">
        <v>19</v>
      </c>
      <c r="D240" s="69" t="s">
        <v>2071</v>
      </c>
      <c r="E240" s="93" t="s">
        <v>2072</v>
      </c>
      <c r="F240" s="103" t="s">
        <v>159</v>
      </c>
      <c r="G240" s="126" t="s">
        <v>1921</v>
      </c>
      <c r="H240" s="103" t="s">
        <v>1873</v>
      </c>
      <c r="I240" s="126" t="s">
        <v>718</v>
      </c>
      <c r="J240" s="104">
        <v>4.8</v>
      </c>
      <c r="K240" s="104">
        <v>166.27</v>
      </c>
      <c r="L240" s="142" t="s">
        <v>1451</v>
      </c>
      <c r="M240" s="142" t="s">
        <v>2073</v>
      </c>
      <c r="N240" s="104"/>
      <c r="O240" s="104">
        <v>161.54</v>
      </c>
      <c r="P240" s="104"/>
      <c r="Q240" s="104">
        <f>SUM(O240:P240)</f>
        <v>161.54</v>
      </c>
      <c r="R240" s="104">
        <v>52.6</v>
      </c>
      <c r="S240" s="104">
        <v>2</v>
      </c>
      <c r="T240" s="56" t="s">
        <v>284</v>
      </c>
      <c r="U240" s="56" t="s">
        <v>2074</v>
      </c>
    </row>
    <row r="241" spans="1:21" ht="158.25">
      <c r="A241" s="93">
        <v>2</v>
      </c>
      <c r="B241" s="103" t="s">
        <v>389</v>
      </c>
      <c r="C241" s="93" t="s">
        <v>19</v>
      </c>
      <c r="D241" s="118" t="s">
        <v>2079</v>
      </c>
      <c r="E241" s="128" t="s">
        <v>1871</v>
      </c>
      <c r="F241" s="128" t="s">
        <v>175</v>
      </c>
      <c r="G241" s="128" t="s">
        <v>1872</v>
      </c>
      <c r="H241" s="128" t="s">
        <v>1864</v>
      </c>
      <c r="I241" s="128" t="s">
        <v>1033</v>
      </c>
      <c r="J241" s="158" t="s">
        <v>141</v>
      </c>
      <c r="K241" s="121">
        <v>93.4</v>
      </c>
      <c r="L241" s="142" t="s">
        <v>2080</v>
      </c>
      <c r="M241" s="142" t="s">
        <v>2081</v>
      </c>
      <c r="N241" s="134"/>
      <c r="O241" s="121">
        <v>94.49</v>
      </c>
      <c r="P241" s="121"/>
      <c r="Q241" s="151">
        <v>94.49</v>
      </c>
      <c r="R241" s="158">
        <v>62.84</v>
      </c>
      <c r="S241" s="121"/>
      <c r="T241" s="122" t="s">
        <v>284</v>
      </c>
      <c r="U241" s="122" t="s">
        <v>261</v>
      </c>
    </row>
    <row r="242" spans="1:21" ht="66">
      <c r="A242" s="93">
        <v>2</v>
      </c>
      <c r="B242" s="103" t="s">
        <v>395</v>
      </c>
      <c r="C242" s="93" t="s">
        <v>19</v>
      </c>
      <c r="D242" s="136" t="s">
        <v>2101</v>
      </c>
      <c r="E242" s="146" t="s">
        <v>1935</v>
      </c>
      <c r="F242" s="146" t="s">
        <v>159</v>
      </c>
      <c r="G242" s="146" t="s">
        <v>1869</v>
      </c>
      <c r="H242" s="131" t="s">
        <v>1869</v>
      </c>
      <c r="I242" s="131" t="s">
        <v>2102</v>
      </c>
      <c r="J242" s="131">
        <v>5</v>
      </c>
      <c r="K242" s="131">
        <v>233.38</v>
      </c>
      <c r="L242" s="142" t="s">
        <v>2103</v>
      </c>
      <c r="M242" s="142" t="s">
        <v>2104</v>
      </c>
      <c r="N242" s="131"/>
      <c r="O242" s="93"/>
      <c r="P242" s="93"/>
      <c r="Q242" s="131">
        <v>202.09</v>
      </c>
      <c r="R242" s="131">
        <v>187.68</v>
      </c>
      <c r="S242" s="131">
        <v>5</v>
      </c>
      <c r="T242" s="131" t="s">
        <v>400</v>
      </c>
      <c r="U242" s="93"/>
    </row>
    <row r="243" spans="1:21" ht="92.25">
      <c r="A243" s="93">
        <v>2</v>
      </c>
      <c r="B243" s="103" t="s">
        <v>395</v>
      </c>
      <c r="C243" s="93" t="s">
        <v>19</v>
      </c>
      <c r="D243" s="136" t="s">
        <v>2106</v>
      </c>
      <c r="E243" s="146" t="s">
        <v>1939</v>
      </c>
      <c r="F243" s="146" t="s">
        <v>159</v>
      </c>
      <c r="G243" s="146" t="s">
        <v>19</v>
      </c>
      <c r="H243" s="131" t="s">
        <v>1869</v>
      </c>
      <c r="I243" s="131" t="s">
        <v>1460</v>
      </c>
      <c r="J243" s="131">
        <v>10.86</v>
      </c>
      <c r="K243" s="131">
        <v>432.98</v>
      </c>
      <c r="L243" s="142" t="s">
        <v>1066</v>
      </c>
      <c r="M243" s="142" t="s">
        <v>1067</v>
      </c>
      <c r="N243" s="131"/>
      <c r="O243" s="93"/>
      <c r="P243" s="93"/>
      <c r="Q243" s="131">
        <v>415.62</v>
      </c>
      <c r="R243" s="131">
        <v>330.44</v>
      </c>
      <c r="S243" s="131">
        <v>10.48</v>
      </c>
      <c r="T243" s="131" t="s">
        <v>400</v>
      </c>
      <c r="U243" s="93"/>
    </row>
    <row r="244" spans="1:21" ht="78.75">
      <c r="A244" s="93">
        <v>4</v>
      </c>
      <c r="B244" s="103" t="s">
        <v>395</v>
      </c>
      <c r="C244" s="93" t="s">
        <v>19</v>
      </c>
      <c r="D244" s="136" t="s">
        <v>2114</v>
      </c>
      <c r="E244" s="146" t="s">
        <v>2115</v>
      </c>
      <c r="F244" s="146" t="s">
        <v>159</v>
      </c>
      <c r="G244" s="146" t="s">
        <v>1891</v>
      </c>
      <c r="H244" s="131" t="s">
        <v>2007</v>
      </c>
      <c r="I244" s="131" t="s">
        <v>2116</v>
      </c>
      <c r="J244" s="131">
        <v>7.23</v>
      </c>
      <c r="K244" s="131">
        <v>308.03</v>
      </c>
      <c r="L244" s="142" t="s">
        <v>2090</v>
      </c>
      <c r="M244" s="142" t="s">
        <v>1272</v>
      </c>
      <c r="N244" s="155"/>
      <c r="O244" s="93"/>
      <c r="P244" s="93"/>
      <c r="Q244" s="131">
        <v>219.94</v>
      </c>
      <c r="R244" s="131">
        <v>172.74</v>
      </c>
      <c r="S244" s="131">
        <v>6</v>
      </c>
      <c r="T244" s="131" t="s">
        <v>400</v>
      </c>
      <c r="U244" s="93"/>
    </row>
    <row r="245" spans="1:21" ht="78.75">
      <c r="A245" s="93">
        <v>1</v>
      </c>
      <c r="B245" s="103" t="s">
        <v>395</v>
      </c>
      <c r="C245" s="93" t="s">
        <v>19</v>
      </c>
      <c r="D245" s="136" t="s">
        <v>2117</v>
      </c>
      <c r="E245" s="146" t="s">
        <v>2072</v>
      </c>
      <c r="F245" s="146" t="s">
        <v>159</v>
      </c>
      <c r="G245" s="146" t="s">
        <v>1891</v>
      </c>
      <c r="H245" s="131" t="s">
        <v>2007</v>
      </c>
      <c r="I245" s="131" t="s">
        <v>2118</v>
      </c>
      <c r="J245" s="131">
        <v>21.1</v>
      </c>
      <c r="K245" s="131">
        <v>911.69</v>
      </c>
      <c r="L245" s="142" t="s">
        <v>2119</v>
      </c>
      <c r="M245" s="142" t="s">
        <v>2120</v>
      </c>
      <c r="N245" s="131"/>
      <c r="O245" s="93"/>
      <c r="P245" s="93"/>
      <c r="Q245" s="131">
        <v>793.22</v>
      </c>
      <c r="R245" s="131">
        <v>616.61</v>
      </c>
      <c r="S245" s="131">
        <v>15</v>
      </c>
      <c r="T245" s="131" t="s">
        <v>2121</v>
      </c>
      <c r="U245" s="93" t="s">
        <v>2122</v>
      </c>
    </row>
    <row r="246" spans="1:21" ht="66">
      <c r="A246" s="93">
        <v>5</v>
      </c>
      <c r="B246" s="103" t="s">
        <v>395</v>
      </c>
      <c r="C246" s="93" t="s">
        <v>19</v>
      </c>
      <c r="D246" s="130" t="s">
        <v>2126</v>
      </c>
      <c r="E246" s="146" t="s">
        <v>2127</v>
      </c>
      <c r="F246" s="146" t="s">
        <v>391</v>
      </c>
      <c r="G246" s="129" t="s">
        <v>1891</v>
      </c>
      <c r="H246" s="131" t="s">
        <v>2007</v>
      </c>
      <c r="I246" s="131" t="s">
        <v>2128</v>
      </c>
      <c r="J246" s="131">
        <v>4.25</v>
      </c>
      <c r="K246" s="131">
        <v>209.02</v>
      </c>
      <c r="L246" s="142" t="s">
        <v>2090</v>
      </c>
      <c r="M246" s="142" t="s">
        <v>1272</v>
      </c>
      <c r="N246" s="131"/>
      <c r="O246" s="93"/>
      <c r="P246" s="93"/>
      <c r="Q246" s="131">
        <v>178.1</v>
      </c>
      <c r="R246" s="131">
        <v>170.36</v>
      </c>
      <c r="S246" s="131">
        <v>4</v>
      </c>
      <c r="T246" s="131" t="s">
        <v>400</v>
      </c>
      <c r="U246" s="93"/>
    </row>
    <row r="247" spans="1:21" ht="66">
      <c r="A247" s="93">
        <v>6</v>
      </c>
      <c r="B247" s="103" t="s">
        <v>395</v>
      </c>
      <c r="C247" s="93" t="s">
        <v>19</v>
      </c>
      <c r="D247" s="130" t="s">
        <v>2129</v>
      </c>
      <c r="E247" s="146" t="s">
        <v>2130</v>
      </c>
      <c r="F247" s="146" t="s">
        <v>391</v>
      </c>
      <c r="G247" s="146" t="s">
        <v>1891</v>
      </c>
      <c r="H247" s="131" t="s">
        <v>2007</v>
      </c>
      <c r="I247" s="131" t="s">
        <v>1017</v>
      </c>
      <c r="J247" s="131">
        <v>11</v>
      </c>
      <c r="K247" s="131">
        <v>477.44</v>
      </c>
      <c r="L247" s="142" t="s">
        <v>2090</v>
      </c>
      <c r="M247" s="142" t="s">
        <v>1478</v>
      </c>
      <c r="N247" s="131"/>
      <c r="O247" s="93"/>
      <c r="P247" s="93"/>
      <c r="Q247" s="131">
        <v>500.74</v>
      </c>
      <c r="R247" s="131">
        <v>359.21</v>
      </c>
      <c r="S247" s="131">
        <v>8</v>
      </c>
      <c r="T247" s="131" t="s">
        <v>400</v>
      </c>
      <c r="U247" s="93"/>
    </row>
    <row r="248" spans="1:21" ht="92.25">
      <c r="A248" s="93">
        <v>3</v>
      </c>
      <c r="B248" s="103" t="s">
        <v>415</v>
      </c>
      <c r="C248" s="93" t="s">
        <v>19</v>
      </c>
      <c r="D248" s="64" t="s">
        <v>2134</v>
      </c>
      <c r="E248" s="146" t="s">
        <v>1868</v>
      </c>
      <c r="F248" s="146" t="s">
        <v>391</v>
      </c>
      <c r="G248" s="146" t="s">
        <v>1869</v>
      </c>
      <c r="H248" s="147" t="s">
        <v>1869</v>
      </c>
      <c r="I248" s="147" t="s">
        <v>2135</v>
      </c>
      <c r="J248" s="131">
        <v>3</v>
      </c>
      <c r="K248" s="131">
        <v>164.35</v>
      </c>
      <c r="L248" s="142" t="s">
        <v>698</v>
      </c>
      <c r="M248" s="142" t="s">
        <v>699</v>
      </c>
      <c r="N248" s="63"/>
      <c r="O248" s="93"/>
      <c r="P248" s="93"/>
      <c r="Q248" s="98">
        <v>154.16</v>
      </c>
      <c r="R248" s="98">
        <v>117.56</v>
      </c>
      <c r="S248" s="98">
        <v>3</v>
      </c>
      <c r="T248" s="63" t="s">
        <v>400</v>
      </c>
      <c r="U248" s="63" t="s">
        <v>141</v>
      </c>
    </row>
    <row r="249" spans="1:21" ht="78.75">
      <c r="A249" s="93">
        <v>3</v>
      </c>
      <c r="B249" s="103" t="s">
        <v>415</v>
      </c>
      <c r="C249" s="93" t="s">
        <v>19</v>
      </c>
      <c r="D249" s="64" t="s">
        <v>2140</v>
      </c>
      <c r="E249" s="146" t="s">
        <v>1877</v>
      </c>
      <c r="F249" s="146" t="s">
        <v>391</v>
      </c>
      <c r="G249" s="146" t="s">
        <v>19</v>
      </c>
      <c r="H249" s="147" t="s">
        <v>1869</v>
      </c>
      <c r="I249" s="147" t="s">
        <v>1472</v>
      </c>
      <c r="J249" s="131">
        <v>8.45</v>
      </c>
      <c r="K249" s="131">
        <v>446.32</v>
      </c>
      <c r="L249" s="142" t="s">
        <v>715</v>
      </c>
      <c r="M249" s="142" t="s">
        <v>1493</v>
      </c>
      <c r="N249" s="63"/>
      <c r="O249" s="93"/>
      <c r="P249" s="93"/>
      <c r="Q249" s="98">
        <v>417.01</v>
      </c>
      <c r="R249" s="98">
        <v>321.84</v>
      </c>
      <c r="S249" s="98">
        <v>5</v>
      </c>
      <c r="T249" s="63" t="s">
        <v>400</v>
      </c>
      <c r="U249" s="63" t="s">
        <v>141</v>
      </c>
    </row>
    <row r="250" spans="1:21" ht="66">
      <c r="A250" s="93">
        <v>4</v>
      </c>
      <c r="B250" s="103" t="s">
        <v>415</v>
      </c>
      <c r="C250" s="93" t="s">
        <v>19</v>
      </c>
      <c r="D250" s="64" t="s">
        <v>2141</v>
      </c>
      <c r="E250" s="146" t="s">
        <v>1890</v>
      </c>
      <c r="F250" s="146" t="s">
        <v>159</v>
      </c>
      <c r="G250" s="146" t="s">
        <v>1869</v>
      </c>
      <c r="H250" s="147" t="s">
        <v>1869</v>
      </c>
      <c r="I250" s="147" t="s">
        <v>1065</v>
      </c>
      <c r="J250" s="131">
        <v>12.8</v>
      </c>
      <c r="K250" s="131">
        <v>585.05</v>
      </c>
      <c r="L250" s="142" t="s">
        <v>740</v>
      </c>
      <c r="M250" s="142" t="s">
        <v>758</v>
      </c>
      <c r="N250" s="63"/>
      <c r="O250" s="93"/>
      <c r="P250" s="93"/>
      <c r="Q250" s="98">
        <v>569.63</v>
      </c>
      <c r="R250" s="98">
        <v>506.68</v>
      </c>
      <c r="S250" s="98">
        <v>12.8</v>
      </c>
      <c r="T250" s="63" t="s">
        <v>400</v>
      </c>
      <c r="U250" s="63" t="s">
        <v>141</v>
      </c>
    </row>
    <row r="251" spans="1:21" ht="66">
      <c r="A251" s="93">
        <v>5</v>
      </c>
      <c r="B251" s="103" t="s">
        <v>415</v>
      </c>
      <c r="C251" s="93" t="s">
        <v>19</v>
      </c>
      <c r="D251" s="64" t="s">
        <v>2142</v>
      </c>
      <c r="E251" s="146" t="s">
        <v>1928</v>
      </c>
      <c r="F251" s="146" t="s">
        <v>159</v>
      </c>
      <c r="G251" s="146" t="s">
        <v>1869</v>
      </c>
      <c r="H251" s="147" t="s">
        <v>1869</v>
      </c>
      <c r="I251" s="147" t="s">
        <v>1065</v>
      </c>
      <c r="J251" s="131">
        <v>11.9</v>
      </c>
      <c r="K251" s="131">
        <v>495.63</v>
      </c>
      <c r="L251" s="142" t="s">
        <v>2143</v>
      </c>
      <c r="M251" s="142" t="s">
        <v>2144</v>
      </c>
      <c r="N251" s="63"/>
      <c r="O251" s="93"/>
      <c r="P251" s="93"/>
      <c r="Q251" s="98">
        <v>422.21</v>
      </c>
      <c r="R251" s="98">
        <v>391.62</v>
      </c>
      <c r="S251" s="98">
        <v>7</v>
      </c>
      <c r="T251" s="63" t="s">
        <v>400</v>
      </c>
      <c r="U251" s="63" t="s">
        <v>141</v>
      </c>
    </row>
    <row r="252" spans="1:21" ht="78.75">
      <c r="A252" s="93">
        <v>6</v>
      </c>
      <c r="B252" s="103" t="s">
        <v>415</v>
      </c>
      <c r="C252" s="93" t="s">
        <v>19</v>
      </c>
      <c r="D252" s="64" t="s">
        <v>2145</v>
      </c>
      <c r="E252" s="146" t="s">
        <v>1933</v>
      </c>
      <c r="F252" s="146" t="s">
        <v>159</v>
      </c>
      <c r="G252" s="146" t="s">
        <v>1869</v>
      </c>
      <c r="H252" s="147" t="s">
        <v>1869</v>
      </c>
      <c r="I252" s="147" t="s">
        <v>2146</v>
      </c>
      <c r="J252" s="131">
        <v>12</v>
      </c>
      <c r="K252" s="131">
        <v>517.32</v>
      </c>
      <c r="L252" s="142" t="s">
        <v>1763</v>
      </c>
      <c r="M252" s="142" t="s">
        <v>2147</v>
      </c>
      <c r="N252" s="63"/>
      <c r="O252" s="93"/>
      <c r="P252" s="93"/>
      <c r="Q252" s="98">
        <v>544.1</v>
      </c>
      <c r="R252" s="98">
        <v>445.32</v>
      </c>
      <c r="S252" s="98">
        <v>7</v>
      </c>
      <c r="T252" s="63" t="s">
        <v>400</v>
      </c>
      <c r="U252" s="63" t="s">
        <v>141</v>
      </c>
    </row>
    <row r="253" spans="1:21" ht="105">
      <c r="A253" s="93">
        <v>7</v>
      </c>
      <c r="B253" s="103" t="s">
        <v>415</v>
      </c>
      <c r="C253" s="93" t="s">
        <v>19</v>
      </c>
      <c r="D253" s="64" t="s">
        <v>2150</v>
      </c>
      <c r="E253" s="146" t="s">
        <v>1937</v>
      </c>
      <c r="F253" s="146" t="s">
        <v>135</v>
      </c>
      <c r="G253" s="146" t="s">
        <v>1891</v>
      </c>
      <c r="H253" s="147" t="s">
        <v>1873</v>
      </c>
      <c r="I253" s="147" t="s">
        <v>2151</v>
      </c>
      <c r="J253" s="131">
        <v>1.95</v>
      </c>
      <c r="K253" s="131">
        <v>89.9</v>
      </c>
      <c r="L253" s="142" t="s">
        <v>1311</v>
      </c>
      <c r="M253" s="142" t="s">
        <v>1267</v>
      </c>
      <c r="N253" s="63"/>
      <c r="O253" s="93"/>
      <c r="P253" s="93"/>
      <c r="Q253" s="98">
        <v>85.3</v>
      </c>
      <c r="R253" s="98"/>
      <c r="S253" s="98"/>
      <c r="T253" s="63" t="s">
        <v>400</v>
      </c>
      <c r="U253" s="63" t="s">
        <v>141</v>
      </c>
    </row>
    <row r="254" spans="1:21" ht="66">
      <c r="A254" s="93">
        <v>2</v>
      </c>
      <c r="B254" s="103" t="s">
        <v>415</v>
      </c>
      <c r="C254" s="93" t="s">
        <v>19</v>
      </c>
      <c r="D254" s="64" t="s">
        <v>2152</v>
      </c>
      <c r="E254" s="146" t="s">
        <v>1939</v>
      </c>
      <c r="F254" s="146" t="s">
        <v>391</v>
      </c>
      <c r="G254" s="146" t="s">
        <v>1921</v>
      </c>
      <c r="H254" s="147" t="s">
        <v>1883</v>
      </c>
      <c r="I254" s="147" t="s">
        <v>2146</v>
      </c>
      <c r="J254" s="131">
        <v>8.1</v>
      </c>
      <c r="K254" s="131">
        <v>444.9</v>
      </c>
      <c r="L254" s="142" t="s">
        <v>2153</v>
      </c>
      <c r="M254" s="142" t="s">
        <v>2154</v>
      </c>
      <c r="N254" s="63"/>
      <c r="O254" s="93"/>
      <c r="P254" s="93"/>
      <c r="Q254" s="98">
        <v>396.49</v>
      </c>
      <c r="R254" s="98">
        <v>145.27</v>
      </c>
      <c r="S254" s="98">
        <v>0.75</v>
      </c>
      <c r="T254" s="142" t="s">
        <v>400</v>
      </c>
      <c r="U254" s="63" t="s">
        <v>141</v>
      </c>
    </row>
    <row r="255" spans="1:21" ht="92.25">
      <c r="A255" s="93">
        <v>3</v>
      </c>
      <c r="B255" s="103" t="s">
        <v>415</v>
      </c>
      <c r="C255" s="93" t="s">
        <v>19</v>
      </c>
      <c r="D255" s="64" t="s">
        <v>2158</v>
      </c>
      <c r="E255" s="146" t="s">
        <v>1947</v>
      </c>
      <c r="F255" s="146" t="s">
        <v>391</v>
      </c>
      <c r="G255" s="146" t="s">
        <v>1921</v>
      </c>
      <c r="H255" s="147" t="s">
        <v>1873</v>
      </c>
      <c r="I255" s="147" t="s">
        <v>1098</v>
      </c>
      <c r="J255" s="131">
        <v>12</v>
      </c>
      <c r="K255" s="131">
        <v>617.24</v>
      </c>
      <c r="L255" s="142" t="s">
        <v>2159</v>
      </c>
      <c r="M255" s="142" t="s">
        <v>2160</v>
      </c>
      <c r="N255" s="63"/>
      <c r="O255" s="93"/>
      <c r="P255" s="93"/>
      <c r="Q255" s="98">
        <v>591.61</v>
      </c>
      <c r="R255" s="98">
        <v>182.59</v>
      </c>
      <c r="S255" s="98"/>
      <c r="T255" s="63" t="s">
        <v>400</v>
      </c>
      <c r="U255" s="63" t="s">
        <v>141</v>
      </c>
    </row>
    <row r="256" spans="1:21" ht="66">
      <c r="A256" s="93">
        <v>3</v>
      </c>
      <c r="B256" s="103" t="s">
        <v>415</v>
      </c>
      <c r="C256" s="93" t="s">
        <v>19</v>
      </c>
      <c r="D256" s="64" t="s">
        <v>2163</v>
      </c>
      <c r="E256" s="146" t="s">
        <v>1998</v>
      </c>
      <c r="F256" s="146" t="s">
        <v>391</v>
      </c>
      <c r="G256" s="146" t="s">
        <v>1872</v>
      </c>
      <c r="H256" s="147" t="s">
        <v>1873</v>
      </c>
      <c r="I256" s="147" t="s">
        <v>311</v>
      </c>
      <c r="J256" s="131">
        <v>23.5</v>
      </c>
      <c r="K256" s="131">
        <v>965.19</v>
      </c>
      <c r="L256" s="142" t="s">
        <v>698</v>
      </c>
      <c r="M256" s="142" t="s">
        <v>2133</v>
      </c>
      <c r="N256" s="63"/>
      <c r="O256" s="93"/>
      <c r="P256" s="93"/>
      <c r="Q256" s="98">
        <v>1103.55</v>
      </c>
      <c r="R256" s="98">
        <v>405.13</v>
      </c>
      <c r="S256" s="98"/>
      <c r="T256" s="63" t="s">
        <v>400</v>
      </c>
      <c r="U256" s="63" t="s">
        <v>141</v>
      </c>
    </row>
    <row r="257" spans="1:21" ht="132">
      <c r="A257" s="93">
        <v>4</v>
      </c>
      <c r="B257" s="103" t="s">
        <v>415</v>
      </c>
      <c r="C257" s="93" t="s">
        <v>19</v>
      </c>
      <c r="D257" s="64" t="s">
        <v>2166</v>
      </c>
      <c r="E257" s="146" t="s">
        <v>2067</v>
      </c>
      <c r="F257" s="146" t="s">
        <v>135</v>
      </c>
      <c r="G257" s="146" t="s">
        <v>1872</v>
      </c>
      <c r="H257" s="147" t="s">
        <v>1864</v>
      </c>
      <c r="I257" s="147" t="s">
        <v>2167</v>
      </c>
      <c r="J257" s="131">
        <v>5.05</v>
      </c>
      <c r="K257" s="131">
        <v>253.01</v>
      </c>
      <c r="L257" s="142" t="s">
        <v>1860</v>
      </c>
      <c r="M257" s="142" t="s">
        <v>1861</v>
      </c>
      <c r="N257" s="63"/>
      <c r="O257" s="93"/>
      <c r="P257" s="93"/>
      <c r="Q257" s="98">
        <v>176.67</v>
      </c>
      <c r="R257" s="98">
        <v>46.4</v>
      </c>
      <c r="S257" s="98">
        <v>2</v>
      </c>
      <c r="T257" s="63" t="s">
        <v>400</v>
      </c>
      <c r="U257" s="63" t="s">
        <v>141</v>
      </c>
    </row>
    <row r="258" spans="1:21" ht="118.5">
      <c r="A258" s="93">
        <v>4</v>
      </c>
      <c r="B258" s="103" t="s">
        <v>415</v>
      </c>
      <c r="C258" s="93" t="s">
        <v>19</v>
      </c>
      <c r="D258" s="64" t="s">
        <v>2168</v>
      </c>
      <c r="E258" s="146" t="s">
        <v>2069</v>
      </c>
      <c r="F258" s="146" t="s">
        <v>159</v>
      </c>
      <c r="G258" s="146" t="s">
        <v>19</v>
      </c>
      <c r="H258" s="147" t="s">
        <v>1864</v>
      </c>
      <c r="I258" s="147" t="s">
        <v>1098</v>
      </c>
      <c r="J258" s="131">
        <v>21.08</v>
      </c>
      <c r="K258" s="131">
        <v>883.55</v>
      </c>
      <c r="L258" s="142" t="s">
        <v>1300</v>
      </c>
      <c r="M258" s="142" t="s">
        <v>2169</v>
      </c>
      <c r="N258" s="63"/>
      <c r="O258" s="93"/>
      <c r="P258" s="93"/>
      <c r="Q258" s="98">
        <v>1046.5</v>
      </c>
      <c r="R258" s="98">
        <v>506.71</v>
      </c>
      <c r="S258" s="98">
        <v>3</v>
      </c>
      <c r="T258" s="63" t="s">
        <v>400</v>
      </c>
      <c r="U258" s="63" t="s">
        <v>141</v>
      </c>
    </row>
    <row r="259" spans="1:21" ht="78.75">
      <c r="A259" s="93">
        <v>5</v>
      </c>
      <c r="B259" s="103" t="s">
        <v>415</v>
      </c>
      <c r="C259" s="93" t="s">
        <v>19</v>
      </c>
      <c r="D259" s="64" t="s">
        <v>2170</v>
      </c>
      <c r="E259" s="146" t="s">
        <v>2171</v>
      </c>
      <c r="F259" s="146" t="s">
        <v>159</v>
      </c>
      <c r="G259" s="146" t="s">
        <v>1872</v>
      </c>
      <c r="H259" s="147" t="s">
        <v>1864</v>
      </c>
      <c r="I259" s="147" t="s">
        <v>2172</v>
      </c>
      <c r="J259" s="131">
        <v>15.14</v>
      </c>
      <c r="K259" s="131">
        <v>604.07</v>
      </c>
      <c r="L259" s="142" t="s">
        <v>698</v>
      </c>
      <c r="M259" s="142" t="s">
        <v>2081</v>
      </c>
      <c r="N259" s="63"/>
      <c r="O259" s="93"/>
      <c r="P259" s="93"/>
      <c r="Q259" s="98">
        <v>602.5</v>
      </c>
      <c r="R259" s="98">
        <f>1.42+215.16+17.8</f>
        <v>234.38</v>
      </c>
      <c r="S259" s="98">
        <v>1</v>
      </c>
      <c r="T259" s="63" t="s">
        <v>400</v>
      </c>
      <c r="U259" s="63" t="s">
        <v>141</v>
      </c>
    </row>
    <row r="260" spans="1:21" ht="78.75">
      <c r="A260" s="93">
        <v>6</v>
      </c>
      <c r="B260" s="103" t="s">
        <v>415</v>
      </c>
      <c r="C260" s="93" t="s">
        <v>19</v>
      </c>
      <c r="D260" s="64" t="s">
        <v>2173</v>
      </c>
      <c r="E260" s="146" t="s">
        <v>2174</v>
      </c>
      <c r="F260" s="146" t="s">
        <v>391</v>
      </c>
      <c r="G260" s="146" t="s">
        <v>1872</v>
      </c>
      <c r="H260" s="147" t="s">
        <v>1864</v>
      </c>
      <c r="I260" s="147" t="s">
        <v>2172</v>
      </c>
      <c r="J260" s="131">
        <v>8.25</v>
      </c>
      <c r="K260" s="131">
        <v>382.78</v>
      </c>
      <c r="L260" s="142" t="s">
        <v>715</v>
      </c>
      <c r="M260" s="142" t="s">
        <v>1493</v>
      </c>
      <c r="N260" s="63"/>
      <c r="O260" s="93"/>
      <c r="P260" s="93"/>
      <c r="Q260" s="98">
        <v>372.57</v>
      </c>
      <c r="R260" s="98">
        <v>228.84</v>
      </c>
      <c r="S260" s="98">
        <v>6.35</v>
      </c>
      <c r="T260" s="63" t="s">
        <v>400</v>
      </c>
      <c r="U260" s="63" t="s">
        <v>141</v>
      </c>
    </row>
    <row r="261" spans="1:21" ht="66">
      <c r="A261" s="93">
        <v>7</v>
      </c>
      <c r="B261" s="103" t="s">
        <v>415</v>
      </c>
      <c r="C261" s="93" t="s">
        <v>19</v>
      </c>
      <c r="D261" s="64" t="s">
        <v>2177</v>
      </c>
      <c r="E261" s="146" t="s">
        <v>2115</v>
      </c>
      <c r="F261" s="146" t="s">
        <v>159</v>
      </c>
      <c r="G261" s="146" t="s">
        <v>1872</v>
      </c>
      <c r="H261" s="147" t="s">
        <v>1864</v>
      </c>
      <c r="I261" s="147" t="s">
        <v>2033</v>
      </c>
      <c r="J261" s="131">
        <v>3.9</v>
      </c>
      <c r="K261" s="131">
        <v>146.57</v>
      </c>
      <c r="L261" s="142" t="s">
        <v>715</v>
      </c>
      <c r="M261" s="142" t="s">
        <v>716</v>
      </c>
      <c r="N261" s="63"/>
      <c r="O261" s="93"/>
      <c r="P261" s="93"/>
      <c r="Q261" s="98">
        <v>147.54</v>
      </c>
      <c r="R261" s="98">
        <v>73.48</v>
      </c>
      <c r="S261" s="98"/>
      <c r="T261" s="63" t="s">
        <v>400</v>
      </c>
      <c r="U261" s="63" t="s">
        <v>141</v>
      </c>
    </row>
    <row r="262" spans="1:21" ht="66">
      <c r="A262" s="93">
        <v>4</v>
      </c>
      <c r="B262" s="103" t="s">
        <v>415</v>
      </c>
      <c r="C262" s="93" t="s">
        <v>19</v>
      </c>
      <c r="D262" s="64" t="s">
        <v>2178</v>
      </c>
      <c r="E262" s="146" t="s">
        <v>2072</v>
      </c>
      <c r="F262" s="146" t="s">
        <v>159</v>
      </c>
      <c r="G262" s="146" t="s">
        <v>1921</v>
      </c>
      <c r="H262" s="147" t="s">
        <v>1883</v>
      </c>
      <c r="I262" s="147" t="s">
        <v>2096</v>
      </c>
      <c r="J262" s="131">
        <v>10</v>
      </c>
      <c r="K262" s="131">
        <v>446.58</v>
      </c>
      <c r="L262" s="142" t="s">
        <v>959</v>
      </c>
      <c r="M262" s="142" t="s">
        <v>2179</v>
      </c>
      <c r="N262" s="63"/>
      <c r="O262" s="93"/>
      <c r="P262" s="93"/>
      <c r="Q262" s="98">
        <v>378.29</v>
      </c>
      <c r="R262" s="98">
        <v>108.8</v>
      </c>
      <c r="S262" s="98"/>
      <c r="T262" s="63" t="s">
        <v>400</v>
      </c>
      <c r="U262" s="63" t="s">
        <v>141</v>
      </c>
    </row>
    <row r="263" spans="1:21" ht="78.75">
      <c r="A263" s="93">
        <v>8</v>
      </c>
      <c r="B263" s="103" t="s">
        <v>445</v>
      </c>
      <c r="C263" s="93" t="s">
        <v>19</v>
      </c>
      <c r="D263" s="66" t="s">
        <v>2181</v>
      </c>
      <c r="E263" s="43" t="s">
        <v>2182</v>
      </c>
      <c r="F263" s="43" t="s">
        <v>391</v>
      </c>
      <c r="G263" s="43" t="s">
        <v>1872</v>
      </c>
      <c r="H263" s="43" t="s">
        <v>1873</v>
      </c>
      <c r="I263" s="142" t="s">
        <v>2183</v>
      </c>
      <c r="J263" s="67">
        <v>5.14</v>
      </c>
      <c r="K263" s="142">
        <v>257</v>
      </c>
      <c r="L263" s="142" t="s">
        <v>2184</v>
      </c>
      <c r="M263" s="142" t="s">
        <v>2185</v>
      </c>
      <c r="N263" s="142"/>
      <c r="O263" s="142"/>
      <c r="P263" s="93"/>
      <c r="Q263" s="142">
        <v>281.16</v>
      </c>
      <c r="R263" s="142">
        <v>227.02</v>
      </c>
      <c r="S263" s="142">
        <v>5.14</v>
      </c>
      <c r="T263" s="142" t="s">
        <v>400</v>
      </c>
      <c r="U263" s="142"/>
    </row>
    <row r="264" spans="1:21" ht="92.25">
      <c r="A264" s="93">
        <v>9</v>
      </c>
      <c r="B264" s="103" t="s">
        <v>445</v>
      </c>
      <c r="C264" s="93" t="s">
        <v>19</v>
      </c>
      <c r="D264" s="66" t="s">
        <v>2186</v>
      </c>
      <c r="E264" s="43" t="s">
        <v>2187</v>
      </c>
      <c r="F264" s="43" t="s">
        <v>391</v>
      </c>
      <c r="G264" s="43" t="s">
        <v>1872</v>
      </c>
      <c r="H264" s="43" t="s">
        <v>1873</v>
      </c>
      <c r="I264" s="142" t="s">
        <v>2188</v>
      </c>
      <c r="J264" s="67">
        <v>9.575</v>
      </c>
      <c r="K264" s="142">
        <v>475.59</v>
      </c>
      <c r="L264" s="142" t="s">
        <v>1132</v>
      </c>
      <c r="M264" s="142" t="s">
        <v>2189</v>
      </c>
      <c r="N264" s="142"/>
      <c r="O264" s="142"/>
      <c r="P264" s="93"/>
      <c r="Q264" s="142">
        <v>420.01</v>
      </c>
      <c r="R264" s="142">
        <v>268.61</v>
      </c>
      <c r="S264" s="142">
        <v>6.1</v>
      </c>
      <c r="T264" s="142" t="s">
        <v>400</v>
      </c>
      <c r="U264" s="142"/>
    </row>
    <row r="265" spans="1:21" ht="78.75">
      <c r="A265" s="93">
        <v>7</v>
      </c>
      <c r="B265" s="103" t="s">
        <v>445</v>
      </c>
      <c r="C265" s="93" t="s">
        <v>19</v>
      </c>
      <c r="D265" s="124" t="s">
        <v>2190</v>
      </c>
      <c r="E265" s="43" t="s">
        <v>2191</v>
      </c>
      <c r="F265" s="43" t="s">
        <v>135</v>
      </c>
      <c r="G265" s="43" t="s">
        <v>1869</v>
      </c>
      <c r="H265" s="43" t="s">
        <v>1873</v>
      </c>
      <c r="I265" s="142" t="s">
        <v>2192</v>
      </c>
      <c r="J265" s="67">
        <v>6.825</v>
      </c>
      <c r="K265" s="142">
        <v>368.55</v>
      </c>
      <c r="L265" s="142" t="s">
        <v>2184</v>
      </c>
      <c r="M265" s="142" t="s">
        <v>2193</v>
      </c>
      <c r="N265" s="142"/>
      <c r="O265" s="142"/>
      <c r="P265" s="93"/>
      <c r="Q265" s="142">
        <v>295.12</v>
      </c>
      <c r="R265" s="142">
        <v>85</v>
      </c>
      <c r="S265" s="142">
        <v>2</v>
      </c>
      <c r="T265" s="142" t="s">
        <v>400</v>
      </c>
      <c r="U265" s="142"/>
    </row>
    <row r="266" spans="1:21" ht="66">
      <c r="A266" s="93">
        <v>10</v>
      </c>
      <c r="B266" s="103" t="s">
        <v>445</v>
      </c>
      <c r="C266" s="93" t="s">
        <v>19</v>
      </c>
      <c r="D266" s="66" t="s">
        <v>2194</v>
      </c>
      <c r="E266" s="43" t="s">
        <v>2195</v>
      </c>
      <c r="F266" s="43" t="s">
        <v>391</v>
      </c>
      <c r="G266" s="43" t="s">
        <v>1872</v>
      </c>
      <c r="H266" s="43" t="s">
        <v>1864</v>
      </c>
      <c r="I266" s="142" t="s">
        <v>2086</v>
      </c>
      <c r="J266" s="67">
        <v>5.477</v>
      </c>
      <c r="K266" s="142">
        <v>272.94</v>
      </c>
      <c r="L266" s="142" t="s">
        <v>2153</v>
      </c>
      <c r="M266" s="142" t="s">
        <v>2154</v>
      </c>
      <c r="N266" s="142"/>
      <c r="O266" s="142"/>
      <c r="P266" s="93"/>
      <c r="Q266" s="142">
        <v>286.65</v>
      </c>
      <c r="R266" s="142">
        <v>186.22</v>
      </c>
      <c r="S266" s="142">
        <v>5.25</v>
      </c>
      <c r="T266" s="142" t="s">
        <v>400</v>
      </c>
      <c r="U266" s="142"/>
    </row>
    <row r="267" spans="1:21" ht="66">
      <c r="A267" s="93">
        <v>11</v>
      </c>
      <c r="B267" s="103" t="s">
        <v>445</v>
      </c>
      <c r="C267" s="93" t="s">
        <v>19</v>
      </c>
      <c r="D267" s="66" t="s">
        <v>2196</v>
      </c>
      <c r="E267" s="43" t="s">
        <v>2197</v>
      </c>
      <c r="F267" s="43" t="s">
        <v>391</v>
      </c>
      <c r="G267" s="43" t="s">
        <v>1872</v>
      </c>
      <c r="H267" s="43" t="s">
        <v>1864</v>
      </c>
      <c r="I267" s="142" t="s">
        <v>2198</v>
      </c>
      <c r="J267" s="67">
        <v>21.068</v>
      </c>
      <c r="K267" s="142">
        <v>1114.49</v>
      </c>
      <c r="L267" s="142" t="s">
        <v>1052</v>
      </c>
      <c r="M267" s="142" t="s">
        <v>2199</v>
      </c>
      <c r="N267" s="142"/>
      <c r="O267" s="142"/>
      <c r="P267" s="93"/>
      <c r="Q267" s="142">
        <v>1299.17</v>
      </c>
      <c r="R267" s="142">
        <v>183.74</v>
      </c>
      <c r="S267" s="142"/>
      <c r="T267" s="142" t="s">
        <v>400</v>
      </c>
      <c r="U267" s="142"/>
    </row>
    <row r="268" spans="1:21" ht="66">
      <c r="A268" s="93">
        <v>12</v>
      </c>
      <c r="B268" s="103" t="s">
        <v>445</v>
      </c>
      <c r="C268" s="93" t="s">
        <v>19</v>
      </c>
      <c r="D268" s="66" t="s">
        <v>2200</v>
      </c>
      <c r="E268" s="43" t="s">
        <v>2201</v>
      </c>
      <c r="F268" s="43" t="s">
        <v>391</v>
      </c>
      <c r="G268" s="43" t="s">
        <v>1872</v>
      </c>
      <c r="H268" s="43" t="s">
        <v>1864</v>
      </c>
      <c r="I268" s="142" t="s">
        <v>2202</v>
      </c>
      <c r="J268" s="67">
        <v>1.315</v>
      </c>
      <c r="K268" s="142">
        <v>82.43</v>
      </c>
      <c r="L268" s="142" t="s">
        <v>2203</v>
      </c>
      <c r="M268" s="142" t="s">
        <v>2204</v>
      </c>
      <c r="N268" s="142"/>
      <c r="O268" s="142"/>
      <c r="P268" s="93"/>
      <c r="Q268" s="142">
        <v>73.73</v>
      </c>
      <c r="R268" s="142">
        <v>47.78</v>
      </c>
      <c r="S268" s="142">
        <v>1.32</v>
      </c>
      <c r="T268" s="142" t="s">
        <v>400</v>
      </c>
      <c r="U268" s="142"/>
    </row>
    <row r="269" spans="1:21" ht="92.25">
      <c r="A269" s="93">
        <v>13</v>
      </c>
      <c r="B269" s="103" t="s">
        <v>445</v>
      </c>
      <c r="C269" s="93" t="s">
        <v>19</v>
      </c>
      <c r="D269" s="66" t="s">
        <v>2205</v>
      </c>
      <c r="E269" s="43" t="s">
        <v>2206</v>
      </c>
      <c r="F269" s="43" t="s">
        <v>391</v>
      </c>
      <c r="G269" s="43" t="s">
        <v>1872</v>
      </c>
      <c r="H269" s="43" t="s">
        <v>1864</v>
      </c>
      <c r="I269" s="142" t="s">
        <v>2207</v>
      </c>
      <c r="J269" s="67">
        <v>4.798</v>
      </c>
      <c r="K269" s="142">
        <v>240.29</v>
      </c>
      <c r="L269" s="142" t="s">
        <v>1088</v>
      </c>
      <c r="M269" s="142" t="s">
        <v>1089</v>
      </c>
      <c r="N269" s="142"/>
      <c r="O269" s="142"/>
      <c r="P269" s="93"/>
      <c r="Q269" s="142">
        <v>257.57</v>
      </c>
      <c r="R269" s="142">
        <v>187.98</v>
      </c>
      <c r="S269" s="142">
        <v>4.8</v>
      </c>
      <c r="T269" s="142" t="s">
        <v>400</v>
      </c>
      <c r="U269" s="142"/>
    </row>
    <row r="270" spans="1:21" ht="78.75">
      <c r="A270" s="93">
        <v>2</v>
      </c>
      <c r="B270" s="103" t="s">
        <v>445</v>
      </c>
      <c r="C270" s="93" t="s">
        <v>19</v>
      </c>
      <c r="D270" s="66" t="s">
        <v>2208</v>
      </c>
      <c r="E270" s="43" t="s">
        <v>2209</v>
      </c>
      <c r="F270" s="43" t="s">
        <v>135</v>
      </c>
      <c r="G270" s="43" t="s">
        <v>1891</v>
      </c>
      <c r="H270" s="43" t="s">
        <v>1883</v>
      </c>
      <c r="I270" s="142"/>
      <c r="J270" s="67">
        <v>3.1</v>
      </c>
      <c r="K270" s="142">
        <v>167.15</v>
      </c>
      <c r="L270" s="142"/>
      <c r="M270" s="142"/>
      <c r="N270" s="142"/>
      <c r="O270" s="142"/>
      <c r="P270" s="93"/>
      <c r="Q270" s="142"/>
      <c r="R270" s="142"/>
      <c r="S270" s="142"/>
      <c r="T270" s="142" t="s">
        <v>1510</v>
      </c>
      <c r="U270" s="142" t="s">
        <v>729</v>
      </c>
    </row>
    <row r="271" spans="1:21" ht="78.75">
      <c r="A271" s="93">
        <v>8</v>
      </c>
      <c r="B271" s="103" t="s">
        <v>445</v>
      </c>
      <c r="C271" s="93" t="s">
        <v>19</v>
      </c>
      <c r="D271" s="66" t="s">
        <v>2210</v>
      </c>
      <c r="E271" s="43" t="s">
        <v>2211</v>
      </c>
      <c r="F271" s="43" t="s">
        <v>138</v>
      </c>
      <c r="G271" s="43" t="s">
        <v>1891</v>
      </c>
      <c r="H271" s="43" t="s">
        <v>1883</v>
      </c>
      <c r="I271" s="142" t="s">
        <v>2212</v>
      </c>
      <c r="J271" s="67">
        <v>9.95</v>
      </c>
      <c r="K271" s="142">
        <v>342.35</v>
      </c>
      <c r="L271" s="142" t="s">
        <v>661</v>
      </c>
      <c r="M271" s="142" t="s">
        <v>2213</v>
      </c>
      <c r="N271" s="142"/>
      <c r="O271" s="142"/>
      <c r="P271" s="93"/>
      <c r="Q271" s="142">
        <v>356.36</v>
      </c>
      <c r="R271" s="142">
        <v>214.82</v>
      </c>
      <c r="S271" s="142">
        <v>9</v>
      </c>
      <c r="T271" s="142" t="s">
        <v>400</v>
      </c>
      <c r="U271" s="142" t="s">
        <v>451</v>
      </c>
    </row>
    <row r="272" spans="1:21" ht="92.25">
      <c r="A272" s="93">
        <v>5</v>
      </c>
      <c r="B272" s="103" t="s">
        <v>445</v>
      </c>
      <c r="C272" s="93" t="s">
        <v>19</v>
      </c>
      <c r="D272" s="66" t="s">
        <v>2214</v>
      </c>
      <c r="E272" s="43" t="s">
        <v>2215</v>
      </c>
      <c r="F272" s="43" t="s">
        <v>138</v>
      </c>
      <c r="G272" s="43" t="s">
        <v>1921</v>
      </c>
      <c r="H272" s="43" t="s">
        <v>1883</v>
      </c>
      <c r="I272" s="142"/>
      <c r="J272" s="67">
        <v>27.2</v>
      </c>
      <c r="K272" s="142">
        <v>833.8</v>
      </c>
      <c r="L272" s="142"/>
      <c r="M272" s="142"/>
      <c r="N272" s="142"/>
      <c r="O272" s="142"/>
      <c r="P272" s="93"/>
      <c r="Q272" s="142">
        <v>908.16</v>
      </c>
      <c r="R272" s="142"/>
      <c r="S272" s="142"/>
      <c r="T272" s="142" t="s">
        <v>400</v>
      </c>
      <c r="U272" s="142" t="s">
        <v>451</v>
      </c>
    </row>
    <row r="273" spans="1:21" ht="78.75">
      <c r="A273" s="93">
        <v>9</v>
      </c>
      <c r="B273" s="103" t="s">
        <v>445</v>
      </c>
      <c r="C273" s="93" t="s">
        <v>19</v>
      </c>
      <c r="D273" s="66" t="s">
        <v>2216</v>
      </c>
      <c r="E273" s="43" t="s">
        <v>2217</v>
      </c>
      <c r="F273" s="43" t="s">
        <v>391</v>
      </c>
      <c r="G273" s="43" t="s">
        <v>1891</v>
      </c>
      <c r="H273" s="43" t="s">
        <v>1883</v>
      </c>
      <c r="I273" s="142" t="s">
        <v>2118</v>
      </c>
      <c r="J273" s="67">
        <v>24</v>
      </c>
      <c r="K273" s="142">
        <v>1437.52</v>
      </c>
      <c r="L273" s="142" t="s">
        <v>2203</v>
      </c>
      <c r="M273" s="142" t="s">
        <v>2218</v>
      </c>
      <c r="N273" s="142"/>
      <c r="O273" s="142"/>
      <c r="P273" s="93"/>
      <c r="Q273" s="142">
        <v>1369.44</v>
      </c>
      <c r="R273" s="142">
        <v>965.08</v>
      </c>
      <c r="S273" s="142">
        <v>19</v>
      </c>
      <c r="T273" s="142" t="s">
        <v>400</v>
      </c>
      <c r="U273" s="142"/>
    </row>
    <row r="274" spans="1:21" ht="118.5">
      <c r="A274" s="93">
        <v>14</v>
      </c>
      <c r="B274" s="103" t="s">
        <v>445</v>
      </c>
      <c r="C274" s="93" t="s">
        <v>19</v>
      </c>
      <c r="D274" s="66" t="s">
        <v>2219</v>
      </c>
      <c r="E274" s="43" t="s">
        <v>2220</v>
      </c>
      <c r="F274" s="43" t="s">
        <v>138</v>
      </c>
      <c r="G274" s="43" t="s">
        <v>1872</v>
      </c>
      <c r="H274" s="43" t="s">
        <v>1864</v>
      </c>
      <c r="I274" s="142" t="s">
        <v>2221</v>
      </c>
      <c r="J274" s="67">
        <v>7.3</v>
      </c>
      <c r="K274" s="142">
        <v>204.36</v>
      </c>
      <c r="L274" s="142" t="s">
        <v>2222</v>
      </c>
      <c r="M274" s="142" t="s">
        <v>437</v>
      </c>
      <c r="N274" s="142"/>
      <c r="O274" s="142"/>
      <c r="P274" s="93"/>
      <c r="Q274" s="142">
        <v>230.27</v>
      </c>
      <c r="R274" s="142">
        <v>49.96</v>
      </c>
      <c r="S274" s="142">
        <v>2.3</v>
      </c>
      <c r="T274" s="142" t="s">
        <v>400</v>
      </c>
      <c r="U274" s="142" t="s">
        <v>451</v>
      </c>
    </row>
    <row r="275" spans="1:21" ht="78.75">
      <c r="A275" s="93">
        <v>15</v>
      </c>
      <c r="B275" s="103" t="s">
        <v>445</v>
      </c>
      <c r="C275" s="93" t="s">
        <v>19</v>
      </c>
      <c r="D275" s="66" t="s">
        <v>2223</v>
      </c>
      <c r="E275" s="72" t="s">
        <v>2224</v>
      </c>
      <c r="F275" s="43" t="s">
        <v>391</v>
      </c>
      <c r="G275" s="43" t="s">
        <v>1872</v>
      </c>
      <c r="H275" s="43" t="s">
        <v>1864</v>
      </c>
      <c r="I275" s="142" t="s">
        <v>2225</v>
      </c>
      <c r="J275" s="67">
        <v>3.33</v>
      </c>
      <c r="K275" s="142">
        <v>164.36</v>
      </c>
      <c r="L275" s="142" t="s">
        <v>1763</v>
      </c>
      <c r="M275" s="142" t="s">
        <v>2226</v>
      </c>
      <c r="N275" s="142"/>
      <c r="O275" s="142"/>
      <c r="P275" s="93"/>
      <c r="Q275" s="142">
        <v>162.6</v>
      </c>
      <c r="R275" s="142">
        <v>144.65</v>
      </c>
      <c r="S275" s="142">
        <v>3.33</v>
      </c>
      <c r="T275" s="142" t="s">
        <v>400</v>
      </c>
      <c r="U275" s="142"/>
    </row>
    <row r="276" spans="1:21" ht="92.25">
      <c r="A276" s="93">
        <v>8</v>
      </c>
      <c r="B276" s="103" t="s">
        <v>445</v>
      </c>
      <c r="C276" s="93" t="s">
        <v>19</v>
      </c>
      <c r="D276" s="66" t="s">
        <v>2227</v>
      </c>
      <c r="E276" s="43" t="s">
        <v>2228</v>
      </c>
      <c r="F276" s="43" t="s">
        <v>138</v>
      </c>
      <c r="G276" s="43" t="s">
        <v>1869</v>
      </c>
      <c r="H276" s="43" t="s">
        <v>1869</v>
      </c>
      <c r="I276" s="142" t="s">
        <v>2102</v>
      </c>
      <c r="J276" s="67">
        <v>16</v>
      </c>
      <c r="K276" s="142">
        <v>472.85</v>
      </c>
      <c r="L276" s="142" t="s">
        <v>1132</v>
      </c>
      <c r="M276" s="142" t="s">
        <v>2189</v>
      </c>
      <c r="N276" s="142"/>
      <c r="O276" s="142"/>
      <c r="P276" s="93"/>
      <c r="Q276" s="142">
        <v>510.79</v>
      </c>
      <c r="R276" s="142">
        <v>242.43</v>
      </c>
      <c r="S276" s="142">
        <v>7.8</v>
      </c>
      <c r="T276" s="142" t="s">
        <v>400</v>
      </c>
      <c r="U276" s="142" t="s">
        <v>451</v>
      </c>
    </row>
    <row r="277" spans="1:21" ht="105">
      <c r="A277" s="93">
        <v>10</v>
      </c>
      <c r="B277" s="103" t="s">
        <v>445</v>
      </c>
      <c r="C277" s="93" t="s">
        <v>19</v>
      </c>
      <c r="D277" s="66" t="s">
        <v>2229</v>
      </c>
      <c r="E277" s="43" t="s">
        <v>2230</v>
      </c>
      <c r="F277" s="43" t="s">
        <v>135</v>
      </c>
      <c r="G277" s="43" t="s">
        <v>1891</v>
      </c>
      <c r="H277" s="43" t="s">
        <v>1883</v>
      </c>
      <c r="I277" s="142"/>
      <c r="J277" s="67">
        <v>22.868</v>
      </c>
      <c r="K277" s="142">
        <v>888.51</v>
      </c>
      <c r="L277" s="142" t="s">
        <v>2231</v>
      </c>
      <c r="M277" s="142" t="s">
        <v>2232</v>
      </c>
      <c r="N277" s="142"/>
      <c r="O277" s="142"/>
      <c r="P277" s="93"/>
      <c r="Q277" s="142">
        <v>1008.74</v>
      </c>
      <c r="R277" s="142">
        <v>136.1</v>
      </c>
      <c r="S277" s="142">
        <v>6</v>
      </c>
      <c r="T277" s="63" t="s">
        <v>400</v>
      </c>
      <c r="U277" s="142" t="s">
        <v>2180</v>
      </c>
    </row>
    <row r="278" spans="1:21" ht="78.75">
      <c r="A278" s="93">
        <v>11</v>
      </c>
      <c r="B278" s="103" t="s">
        <v>445</v>
      </c>
      <c r="C278" s="93" t="s">
        <v>19</v>
      </c>
      <c r="D278" s="66" t="s">
        <v>2233</v>
      </c>
      <c r="E278" s="43" t="s">
        <v>2234</v>
      </c>
      <c r="F278" s="43" t="s">
        <v>391</v>
      </c>
      <c r="G278" s="43" t="s">
        <v>1891</v>
      </c>
      <c r="H278" s="43" t="s">
        <v>1883</v>
      </c>
      <c r="I278" s="142" t="s">
        <v>2235</v>
      </c>
      <c r="J278" s="67">
        <v>4.25</v>
      </c>
      <c r="K278" s="70">
        <v>227.28</v>
      </c>
      <c r="L278" s="70" t="s">
        <v>1132</v>
      </c>
      <c r="M278" s="70" t="s">
        <v>2236</v>
      </c>
      <c r="N278" s="70"/>
      <c r="O278" s="70"/>
      <c r="P278" s="93"/>
      <c r="Q278" s="70">
        <v>203.16</v>
      </c>
      <c r="R278" s="70">
        <v>33.02</v>
      </c>
      <c r="S278" s="70"/>
      <c r="T278" s="142" t="s">
        <v>400</v>
      </c>
      <c r="U278" s="142"/>
    </row>
    <row r="279" spans="1:21" ht="82.5">
      <c r="A279" s="195">
        <v>1</v>
      </c>
      <c r="B279" s="103" t="s">
        <v>185</v>
      </c>
      <c r="C279" s="93" t="s">
        <v>20</v>
      </c>
      <c r="D279" s="36" t="s">
        <v>2267</v>
      </c>
      <c r="E279" s="204" t="s">
        <v>2268</v>
      </c>
      <c r="F279" s="183" t="s">
        <v>175</v>
      </c>
      <c r="G279" s="103" t="s">
        <v>2244</v>
      </c>
      <c r="H279" s="103" t="s">
        <v>2250</v>
      </c>
      <c r="I279" s="103"/>
      <c r="J279" s="95" t="s">
        <v>141</v>
      </c>
      <c r="K279" s="207">
        <v>117.93</v>
      </c>
      <c r="L279" s="96" t="s">
        <v>1903</v>
      </c>
      <c r="M279" s="96" t="s">
        <v>2269</v>
      </c>
      <c r="N279" s="96"/>
      <c r="O279" s="95">
        <v>118.11</v>
      </c>
      <c r="P279" s="194">
        <v>59.24</v>
      </c>
      <c r="Q279" s="207">
        <f>O279+O280+P279</f>
        <v>437.09000000000003</v>
      </c>
      <c r="R279" s="207">
        <v>367.79</v>
      </c>
      <c r="S279" s="95" t="s">
        <v>141</v>
      </c>
      <c r="T279" s="215" t="s">
        <v>284</v>
      </c>
      <c r="U279" s="215" t="s">
        <v>143</v>
      </c>
    </row>
    <row r="280" spans="1:21" ht="82.5">
      <c r="A280" s="196"/>
      <c r="B280" s="103" t="s">
        <v>185</v>
      </c>
      <c r="C280" s="93" t="s">
        <v>20</v>
      </c>
      <c r="D280" s="36" t="s">
        <v>2270</v>
      </c>
      <c r="E280" s="204"/>
      <c r="F280" s="183"/>
      <c r="G280" s="103" t="s">
        <v>2244</v>
      </c>
      <c r="H280" s="103" t="s">
        <v>2250</v>
      </c>
      <c r="I280" s="103"/>
      <c r="J280" s="95" t="s">
        <v>141</v>
      </c>
      <c r="K280" s="207"/>
      <c r="L280" s="96" t="s">
        <v>2271</v>
      </c>
      <c r="M280" s="96" t="s">
        <v>2272</v>
      </c>
      <c r="N280" s="96"/>
      <c r="O280" s="95">
        <v>259.74</v>
      </c>
      <c r="P280" s="194"/>
      <c r="Q280" s="207"/>
      <c r="R280" s="207"/>
      <c r="S280" s="95" t="s">
        <v>141</v>
      </c>
      <c r="T280" s="215"/>
      <c r="U280" s="215"/>
    </row>
    <row r="281" spans="1:21" ht="41.25">
      <c r="A281" s="93">
        <v>1</v>
      </c>
      <c r="B281" s="103" t="s">
        <v>221</v>
      </c>
      <c r="C281" s="93" t="s">
        <v>20</v>
      </c>
      <c r="D281" s="36" t="s">
        <v>2294</v>
      </c>
      <c r="E281" s="113" t="s">
        <v>2246</v>
      </c>
      <c r="F281" s="103" t="s">
        <v>135</v>
      </c>
      <c r="G281" s="52" t="s">
        <v>2247</v>
      </c>
      <c r="H281" s="52" t="s">
        <v>2247</v>
      </c>
      <c r="I281" s="103" t="s">
        <v>2295</v>
      </c>
      <c r="J281" s="104">
        <v>20.65</v>
      </c>
      <c r="K281" s="104">
        <v>453.81</v>
      </c>
      <c r="L281" s="104" t="s">
        <v>1179</v>
      </c>
      <c r="M281" s="104" t="s">
        <v>1180</v>
      </c>
      <c r="N281" s="104" t="s">
        <v>141</v>
      </c>
      <c r="O281" s="104">
        <v>630.7</v>
      </c>
      <c r="P281" s="104"/>
      <c r="Q281" s="104">
        <f>SUM(O281:P281)</f>
        <v>630.7</v>
      </c>
      <c r="R281" s="169">
        <f>50.15+230.29</f>
        <v>280.44</v>
      </c>
      <c r="S281" s="104">
        <v>8.5</v>
      </c>
      <c r="T281" s="105" t="s">
        <v>284</v>
      </c>
      <c r="U281" s="106" t="s">
        <v>143</v>
      </c>
    </row>
    <row r="282" spans="1:21" ht="62.25">
      <c r="A282" s="93">
        <v>1</v>
      </c>
      <c r="B282" s="103" t="s">
        <v>279</v>
      </c>
      <c r="C282" s="93" t="s">
        <v>20</v>
      </c>
      <c r="D282" s="37" t="s">
        <v>2322</v>
      </c>
      <c r="E282" s="113" t="s">
        <v>2238</v>
      </c>
      <c r="F282" s="103" t="s">
        <v>135</v>
      </c>
      <c r="G282" s="103" t="s">
        <v>2248</v>
      </c>
      <c r="H282" s="103" t="s">
        <v>2248</v>
      </c>
      <c r="I282" s="204" t="s">
        <v>2323</v>
      </c>
      <c r="J282" s="116">
        <v>15</v>
      </c>
      <c r="K282" s="104">
        <v>593.61</v>
      </c>
      <c r="L282" s="103" t="s">
        <v>2269</v>
      </c>
      <c r="M282" s="103" t="s">
        <v>2324</v>
      </c>
      <c r="N282" s="103"/>
      <c r="O282" s="104">
        <v>402.83</v>
      </c>
      <c r="P282" s="104"/>
      <c r="Q282" s="104">
        <f aca="true" t="shared" si="3" ref="Q282:Q290">SUM(O282:P282)</f>
        <v>402.83</v>
      </c>
      <c r="R282" s="104">
        <f>670.05+51.22</f>
        <v>721.27</v>
      </c>
      <c r="S282" s="104">
        <v>15</v>
      </c>
      <c r="T282" s="105" t="s">
        <v>284</v>
      </c>
      <c r="U282" s="105" t="s">
        <v>143</v>
      </c>
    </row>
    <row r="283" spans="1:21" ht="62.25">
      <c r="A283" s="93">
        <v>1</v>
      </c>
      <c r="B283" s="103" t="s">
        <v>279</v>
      </c>
      <c r="C283" s="93" t="s">
        <v>20</v>
      </c>
      <c r="D283" s="37" t="s">
        <v>2325</v>
      </c>
      <c r="E283" s="113" t="s">
        <v>2241</v>
      </c>
      <c r="F283" s="103" t="s">
        <v>135</v>
      </c>
      <c r="G283" s="103" t="s">
        <v>2248</v>
      </c>
      <c r="H283" s="103" t="s">
        <v>2248</v>
      </c>
      <c r="I283" s="204"/>
      <c r="J283" s="116">
        <v>12.38</v>
      </c>
      <c r="K283" s="104">
        <v>672.58</v>
      </c>
      <c r="L283" s="103" t="s">
        <v>2269</v>
      </c>
      <c r="M283" s="103" t="s">
        <v>2324</v>
      </c>
      <c r="N283" s="103"/>
      <c r="O283" s="104">
        <v>455.83</v>
      </c>
      <c r="P283" s="104"/>
      <c r="Q283" s="104">
        <f t="shared" si="3"/>
        <v>455.83</v>
      </c>
      <c r="R283" s="104">
        <f>25.05</f>
        <v>25.05</v>
      </c>
      <c r="S283" s="104">
        <v>10</v>
      </c>
      <c r="T283" s="105" t="s">
        <v>260</v>
      </c>
      <c r="U283" s="105" t="s">
        <v>143</v>
      </c>
    </row>
    <row r="284" spans="1:21" ht="46.5">
      <c r="A284" s="93">
        <v>2</v>
      </c>
      <c r="B284" s="103" t="s">
        <v>279</v>
      </c>
      <c r="C284" s="93" t="s">
        <v>20</v>
      </c>
      <c r="D284" s="37" t="s">
        <v>2326</v>
      </c>
      <c r="E284" s="113" t="s">
        <v>2243</v>
      </c>
      <c r="F284" s="103" t="s">
        <v>135</v>
      </c>
      <c r="G284" s="103" t="s">
        <v>2248</v>
      </c>
      <c r="H284" s="103" t="s">
        <v>2248</v>
      </c>
      <c r="I284" s="103"/>
      <c r="J284" s="116">
        <v>7.65</v>
      </c>
      <c r="K284" s="104">
        <v>294.58</v>
      </c>
      <c r="L284" s="103" t="s">
        <v>1290</v>
      </c>
      <c r="M284" s="103" t="s">
        <v>2327</v>
      </c>
      <c r="N284" s="103"/>
      <c r="O284" s="104">
        <v>318.88</v>
      </c>
      <c r="P284" s="104"/>
      <c r="Q284" s="104">
        <f t="shared" si="3"/>
        <v>318.88</v>
      </c>
      <c r="R284" s="104">
        <v>270.26</v>
      </c>
      <c r="S284" s="104">
        <v>4.5</v>
      </c>
      <c r="T284" s="105" t="s">
        <v>284</v>
      </c>
      <c r="U284" s="105" t="s">
        <v>143</v>
      </c>
    </row>
    <row r="285" spans="1:21" ht="62.25">
      <c r="A285" s="93">
        <v>3</v>
      </c>
      <c r="B285" s="103" t="s">
        <v>279</v>
      </c>
      <c r="C285" s="93" t="s">
        <v>20</v>
      </c>
      <c r="D285" s="37" t="s">
        <v>2334</v>
      </c>
      <c r="E285" s="113" t="s">
        <v>2303</v>
      </c>
      <c r="F285" s="103" t="s">
        <v>135</v>
      </c>
      <c r="G285" s="103" t="s">
        <v>2248</v>
      </c>
      <c r="H285" s="103" t="s">
        <v>2239</v>
      </c>
      <c r="I285" s="103" t="s">
        <v>2335</v>
      </c>
      <c r="J285" s="116">
        <v>6.25</v>
      </c>
      <c r="K285" s="104">
        <v>246.94</v>
      </c>
      <c r="L285" s="103" t="s">
        <v>2269</v>
      </c>
      <c r="M285" s="103" t="s">
        <v>2336</v>
      </c>
      <c r="N285" s="103"/>
      <c r="O285" s="104">
        <v>153.92</v>
      </c>
      <c r="P285" s="104"/>
      <c r="Q285" s="104">
        <f t="shared" si="3"/>
        <v>153.92</v>
      </c>
      <c r="R285" s="104">
        <v>3.79</v>
      </c>
      <c r="S285" s="104"/>
      <c r="T285" s="105" t="s">
        <v>284</v>
      </c>
      <c r="U285" s="105" t="s">
        <v>143</v>
      </c>
    </row>
    <row r="286" spans="1:21" ht="46.5">
      <c r="A286" s="93">
        <v>1</v>
      </c>
      <c r="B286" s="103" t="s">
        <v>279</v>
      </c>
      <c r="C286" s="93" t="s">
        <v>20</v>
      </c>
      <c r="D286" s="37" t="s">
        <v>2338</v>
      </c>
      <c r="E286" s="113" t="s">
        <v>2339</v>
      </c>
      <c r="F286" s="103" t="s">
        <v>135</v>
      </c>
      <c r="G286" s="103" t="s">
        <v>20</v>
      </c>
      <c r="H286" s="103" t="s">
        <v>2250</v>
      </c>
      <c r="I286" s="103" t="s">
        <v>1193</v>
      </c>
      <c r="J286" s="116">
        <v>4</v>
      </c>
      <c r="K286" s="104">
        <v>149.94</v>
      </c>
      <c r="L286" s="103" t="s">
        <v>1838</v>
      </c>
      <c r="M286" s="103" t="s">
        <v>2340</v>
      </c>
      <c r="N286" s="103"/>
      <c r="O286" s="104">
        <v>111.64</v>
      </c>
      <c r="P286" s="104"/>
      <c r="Q286" s="104">
        <f t="shared" si="3"/>
        <v>111.64</v>
      </c>
      <c r="R286" s="104">
        <v>86.99</v>
      </c>
      <c r="S286" s="104">
        <v>1.75</v>
      </c>
      <c r="T286" s="105" t="s">
        <v>284</v>
      </c>
      <c r="U286" s="105" t="s">
        <v>143</v>
      </c>
    </row>
    <row r="287" spans="1:21" ht="46.5">
      <c r="A287" s="93">
        <v>4</v>
      </c>
      <c r="B287" s="103" t="s">
        <v>279</v>
      </c>
      <c r="C287" s="93" t="s">
        <v>20</v>
      </c>
      <c r="D287" s="37" t="s">
        <v>2348</v>
      </c>
      <c r="E287" s="113" t="s">
        <v>2349</v>
      </c>
      <c r="F287" s="103" t="s">
        <v>135</v>
      </c>
      <c r="G287" s="103" t="s">
        <v>2248</v>
      </c>
      <c r="H287" s="103" t="s">
        <v>2239</v>
      </c>
      <c r="I287" s="97" t="s">
        <v>1256</v>
      </c>
      <c r="J287" s="116">
        <v>12</v>
      </c>
      <c r="K287" s="104">
        <v>443.62</v>
      </c>
      <c r="L287" s="103" t="s">
        <v>2269</v>
      </c>
      <c r="M287" s="103" t="s">
        <v>2346</v>
      </c>
      <c r="N287" s="103"/>
      <c r="O287" s="104">
        <v>232.99</v>
      </c>
      <c r="P287" s="104"/>
      <c r="Q287" s="104">
        <f t="shared" si="3"/>
        <v>232.99</v>
      </c>
      <c r="R287" s="104">
        <v>147.15</v>
      </c>
      <c r="S287" s="104">
        <v>10</v>
      </c>
      <c r="T287" s="105" t="s">
        <v>284</v>
      </c>
      <c r="U287" s="105" t="s">
        <v>143</v>
      </c>
    </row>
    <row r="288" spans="1:21" ht="124.5">
      <c r="A288" s="93">
        <v>2</v>
      </c>
      <c r="B288" s="103" t="s">
        <v>279</v>
      </c>
      <c r="C288" s="93" t="s">
        <v>20</v>
      </c>
      <c r="D288" s="37" t="s">
        <v>2356</v>
      </c>
      <c r="E288" s="113" t="s">
        <v>2357</v>
      </c>
      <c r="F288" s="103" t="s">
        <v>135</v>
      </c>
      <c r="G288" s="103" t="s">
        <v>2244</v>
      </c>
      <c r="H288" s="103" t="s">
        <v>2250</v>
      </c>
      <c r="I288" s="103" t="s">
        <v>315</v>
      </c>
      <c r="J288" s="104">
        <v>14</v>
      </c>
      <c r="K288" s="104">
        <v>491.33</v>
      </c>
      <c r="L288" s="103" t="s">
        <v>2358</v>
      </c>
      <c r="M288" s="103" t="s">
        <v>2359</v>
      </c>
      <c r="N288" s="103"/>
      <c r="O288" s="104">
        <v>452.19</v>
      </c>
      <c r="P288" s="104"/>
      <c r="Q288" s="104">
        <f t="shared" si="3"/>
        <v>452.19</v>
      </c>
      <c r="R288" s="104">
        <v>173.32</v>
      </c>
      <c r="S288" s="104">
        <v>3</v>
      </c>
      <c r="T288" s="105" t="s">
        <v>284</v>
      </c>
      <c r="U288" s="105" t="s">
        <v>143</v>
      </c>
    </row>
    <row r="289" spans="1:21" ht="46.5">
      <c r="A289" s="93">
        <v>3</v>
      </c>
      <c r="B289" s="103" t="s">
        <v>279</v>
      </c>
      <c r="C289" s="93" t="s">
        <v>20</v>
      </c>
      <c r="D289" s="37" t="s">
        <v>2365</v>
      </c>
      <c r="E289" s="113" t="s">
        <v>2366</v>
      </c>
      <c r="F289" s="103" t="s">
        <v>135</v>
      </c>
      <c r="G289" s="103" t="s">
        <v>2244</v>
      </c>
      <c r="H289" s="103" t="s">
        <v>2248</v>
      </c>
      <c r="I289" s="103" t="s">
        <v>718</v>
      </c>
      <c r="J289" s="116">
        <v>6.45</v>
      </c>
      <c r="K289" s="104">
        <v>400.23</v>
      </c>
      <c r="L289" s="103" t="s">
        <v>1290</v>
      </c>
      <c r="M289" s="103" t="s">
        <v>2367</v>
      </c>
      <c r="N289" s="103"/>
      <c r="O289" s="104">
        <v>434.22</v>
      </c>
      <c r="P289" s="104"/>
      <c r="Q289" s="104">
        <f t="shared" si="3"/>
        <v>434.22</v>
      </c>
      <c r="R289" s="104">
        <v>161.93</v>
      </c>
      <c r="S289" s="104">
        <v>4</v>
      </c>
      <c r="T289" s="105" t="s">
        <v>284</v>
      </c>
      <c r="U289" s="105" t="s">
        <v>143</v>
      </c>
    </row>
    <row r="290" spans="1:21" ht="140.25">
      <c r="A290" s="93">
        <v>2</v>
      </c>
      <c r="B290" s="103" t="s">
        <v>279</v>
      </c>
      <c r="C290" s="93" t="s">
        <v>20</v>
      </c>
      <c r="D290" s="37" t="s">
        <v>2368</v>
      </c>
      <c r="E290" s="113" t="s">
        <v>2369</v>
      </c>
      <c r="F290" s="103" t="s">
        <v>135</v>
      </c>
      <c r="G290" s="103" t="s">
        <v>20</v>
      </c>
      <c r="H290" s="103" t="s">
        <v>2250</v>
      </c>
      <c r="I290" s="103" t="s">
        <v>1027</v>
      </c>
      <c r="J290" s="116">
        <v>22.5</v>
      </c>
      <c r="K290" s="104">
        <v>960.87</v>
      </c>
      <c r="L290" s="103" t="s">
        <v>2370</v>
      </c>
      <c r="M290" s="103" t="s">
        <v>267</v>
      </c>
      <c r="N290" s="103"/>
      <c r="O290" s="104">
        <v>945.67</v>
      </c>
      <c r="P290" s="104"/>
      <c r="Q290" s="104">
        <f t="shared" si="3"/>
        <v>945.67</v>
      </c>
      <c r="R290" s="104">
        <v>511.88</v>
      </c>
      <c r="S290" s="104">
        <v>13.5</v>
      </c>
      <c r="T290" s="105" t="s">
        <v>284</v>
      </c>
      <c r="U290" s="105" t="s">
        <v>143</v>
      </c>
    </row>
    <row r="291" spans="1:21" ht="144.75">
      <c r="A291" s="93">
        <v>3</v>
      </c>
      <c r="B291" s="103" t="s">
        <v>395</v>
      </c>
      <c r="C291" s="93" t="s">
        <v>20</v>
      </c>
      <c r="D291" s="130" t="s">
        <v>2374</v>
      </c>
      <c r="E291" s="146" t="s">
        <v>2241</v>
      </c>
      <c r="F291" s="146" t="s">
        <v>175</v>
      </c>
      <c r="G291" s="146" t="s">
        <v>20</v>
      </c>
      <c r="H291" s="131" t="s">
        <v>2250</v>
      </c>
      <c r="I291" s="131" t="s">
        <v>2375</v>
      </c>
      <c r="J291" s="135" t="s">
        <v>141</v>
      </c>
      <c r="K291" s="131">
        <v>345.29</v>
      </c>
      <c r="L291" s="131" t="s">
        <v>1469</v>
      </c>
      <c r="M291" s="131" t="s">
        <v>1470</v>
      </c>
      <c r="N291" s="131"/>
      <c r="O291" s="93"/>
      <c r="P291" s="93"/>
      <c r="Q291" s="131">
        <v>302.42</v>
      </c>
      <c r="R291" s="131">
        <v>293.95</v>
      </c>
      <c r="S291" s="131"/>
      <c r="T291" s="131" t="s">
        <v>400</v>
      </c>
      <c r="U291" s="93"/>
    </row>
    <row r="292" spans="1:21" ht="105">
      <c r="A292" s="93">
        <v>4</v>
      </c>
      <c r="B292" s="103" t="s">
        <v>395</v>
      </c>
      <c r="C292" s="93" t="s">
        <v>20</v>
      </c>
      <c r="D292" s="130" t="s">
        <v>2377</v>
      </c>
      <c r="E292" s="146" t="s">
        <v>2246</v>
      </c>
      <c r="F292" s="146" t="s">
        <v>159</v>
      </c>
      <c r="G292" s="146" t="s">
        <v>20</v>
      </c>
      <c r="H292" s="131" t="s">
        <v>2250</v>
      </c>
      <c r="I292" s="131" t="s">
        <v>2378</v>
      </c>
      <c r="J292" s="131">
        <v>5</v>
      </c>
      <c r="K292" s="131">
        <v>204.85</v>
      </c>
      <c r="L292" s="131" t="s">
        <v>651</v>
      </c>
      <c r="M292" s="131" t="s">
        <v>652</v>
      </c>
      <c r="N292" s="131"/>
      <c r="O292" s="93"/>
      <c r="P292" s="93"/>
      <c r="Q292" s="131">
        <v>212.44</v>
      </c>
      <c r="R292" s="131">
        <v>180.17</v>
      </c>
      <c r="S292" s="131">
        <v>4.5</v>
      </c>
      <c r="T292" s="131" t="s">
        <v>400</v>
      </c>
      <c r="U292" s="93"/>
    </row>
    <row r="293" spans="1:21" ht="92.25">
      <c r="A293" s="93">
        <v>4</v>
      </c>
      <c r="B293" s="103" t="s">
        <v>395</v>
      </c>
      <c r="C293" s="93" t="s">
        <v>20</v>
      </c>
      <c r="D293" s="130" t="s">
        <v>2379</v>
      </c>
      <c r="E293" s="146" t="s">
        <v>2257</v>
      </c>
      <c r="F293" s="146" t="s">
        <v>159</v>
      </c>
      <c r="G293" s="146" t="s">
        <v>2244</v>
      </c>
      <c r="H293" s="131" t="s">
        <v>2250</v>
      </c>
      <c r="I293" s="131" t="s">
        <v>2380</v>
      </c>
      <c r="J293" s="131">
        <v>11</v>
      </c>
      <c r="K293" s="131">
        <v>471.25</v>
      </c>
      <c r="L293" s="131" t="s">
        <v>2381</v>
      </c>
      <c r="M293" s="131" t="s">
        <v>2382</v>
      </c>
      <c r="N293" s="131"/>
      <c r="O293" s="93"/>
      <c r="P293" s="93"/>
      <c r="Q293" s="131">
        <v>528.57</v>
      </c>
      <c r="R293" s="131">
        <f>155.4+29.66</f>
        <v>185.06</v>
      </c>
      <c r="S293" s="131"/>
      <c r="T293" s="131" t="s">
        <v>400</v>
      </c>
      <c r="U293" s="93"/>
    </row>
    <row r="294" spans="1:21" ht="118.5">
      <c r="A294" s="93">
        <v>5</v>
      </c>
      <c r="B294" s="103" t="s">
        <v>395</v>
      </c>
      <c r="C294" s="93" t="s">
        <v>20</v>
      </c>
      <c r="D294" s="136" t="s">
        <v>2384</v>
      </c>
      <c r="E294" s="146" t="s">
        <v>2303</v>
      </c>
      <c r="F294" s="146" t="s">
        <v>159</v>
      </c>
      <c r="G294" s="146" t="s">
        <v>2248</v>
      </c>
      <c r="H294" s="131" t="s">
        <v>2239</v>
      </c>
      <c r="I294" s="131" t="s">
        <v>2385</v>
      </c>
      <c r="J294" s="131">
        <v>16.1</v>
      </c>
      <c r="K294" s="131">
        <v>683.66</v>
      </c>
      <c r="L294" s="131" t="s">
        <v>651</v>
      </c>
      <c r="M294" s="131" t="s">
        <v>2364</v>
      </c>
      <c r="N294" s="131"/>
      <c r="O294" s="93"/>
      <c r="P294" s="93"/>
      <c r="Q294" s="131">
        <v>572.39</v>
      </c>
      <c r="R294" s="131">
        <v>500.3</v>
      </c>
      <c r="S294" s="131">
        <v>16.1</v>
      </c>
      <c r="T294" s="131" t="s">
        <v>400</v>
      </c>
      <c r="U294" s="93"/>
    </row>
    <row r="295" spans="1:21" ht="78.75">
      <c r="A295" s="93">
        <v>2</v>
      </c>
      <c r="B295" s="103" t="s">
        <v>395</v>
      </c>
      <c r="C295" s="93" t="s">
        <v>20</v>
      </c>
      <c r="D295" s="136" t="s">
        <v>2386</v>
      </c>
      <c r="E295" s="146" t="s">
        <v>2293</v>
      </c>
      <c r="F295" s="146" t="s">
        <v>159</v>
      </c>
      <c r="G295" s="146" t="s">
        <v>2247</v>
      </c>
      <c r="H295" s="131" t="s">
        <v>2247</v>
      </c>
      <c r="I295" s="131" t="s">
        <v>2387</v>
      </c>
      <c r="J295" s="131">
        <v>8</v>
      </c>
      <c r="K295" s="131">
        <v>317.8</v>
      </c>
      <c r="L295" s="131" t="s">
        <v>691</v>
      </c>
      <c r="M295" s="131" t="s">
        <v>692</v>
      </c>
      <c r="N295" s="131"/>
      <c r="O295" s="93"/>
      <c r="P295" s="93"/>
      <c r="Q295" s="131">
        <v>341.04</v>
      </c>
      <c r="R295" s="131">
        <v>170.32</v>
      </c>
      <c r="S295" s="131">
        <v>3</v>
      </c>
      <c r="T295" s="131" t="s">
        <v>400</v>
      </c>
      <c r="U295" s="93"/>
    </row>
    <row r="296" spans="1:21" ht="118.5">
      <c r="A296" s="93">
        <v>3</v>
      </c>
      <c r="B296" s="103" t="s">
        <v>395</v>
      </c>
      <c r="C296" s="93" t="s">
        <v>20</v>
      </c>
      <c r="D296" s="136" t="s">
        <v>2390</v>
      </c>
      <c r="E296" s="146" t="s">
        <v>2342</v>
      </c>
      <c r="F296" s="146" t="s">
        <v>159</v>
      </c>
      <c r="G296" s="146" t="s">
        <v>2247</v>
      </c>
      <c r="H296" s="131" t="s">
        <v>2247</v>
      </c>
      <c r="I296" s="131" t="s">
        <v>315</v>
      </c>
      <c r="J296" s="131">
        <v>13</v>
      </c>
      <c r="K296" s="131">
        <v>524.24</v>
      </c>
      <c r="L296" s="131" t="s">
        <v>1466</v>
      </c>
      <c r="M296" s="131" t="s">
        <v>2391</v>
      </c>
      <c r="N296" s="131"/>
      <c r="O296" s="93"/>
      <c r="P296" s="93"/>
      <c r="Q296" s="131">
        <v>605.24</v>
      </c>
      <c r="R296" s="131">
        <f>420.18+148.38</f>
        <v>568.56</v>
      </c>
      <c r="S296" s="131">
        <v>12.75</v>
      </c>
      <c r="T296" s="131" t="s">
        <v>400</v>
      </c>
      <c r="U296" s="93"/>
    </row>
    <row r="297" spans="1:21" ht="66">
      <c r="A297" s="93">
        <v>5</v>
      </c>
      <c r="B297" s="103" t="s">
        <v>395</v>
      </c>
      <c r="C297" s="93" t="s">
        <v>20</v>
      </c>
      <c r="D297" s="136" t="s">
        <v>2392</v>
      </c>
      <c r="E297" s="146" t="s">
        <v>2351</v>
      </c>
      <c r="F297" s="146" t="s">
        <v>159</v>
      </c>
      <c r="G297" s="146" t="s">
        <v>2244</v>
      </c>
      <c r="H297" s="131" t="s">
        <v>2250</v>
      </c>
      <c r="I297" s="131" t="s">
        <v>315</v>
      </c>
      <c r="J297" s="131">
        <v>27.83</v>
      </c>
      <c r="K297" s="131">
        <v>1190.9</v>
      </c>
      <c r="L297" s="131" t="s">
        <v>1466</v>
      </c>
      <c r="M297" s="131" t="s">
        <v>2393</v>
      </c>
      <c r="N297" s="131"/>
      <c r="O297" s="93"/>
      <c r="P297" s="93"/>
      <c r="Q297" s="131">
        <v>1269.19</v>
      </c>
      <c r="R297" s="131">
        <v>1031.19</v>
      </c>
      <c r="S297" s="131">
        <v>27.83</v>
      </c>
      <c r="T297" s="131" t="s">
        <v>400</v>
      </c>
      <c r="U297" s="93"/>
    </row>
    <row r="298" spans="1:21" ht="92.25">
      <c r="A298" s="93">
        <v>4</v>
      </c>
      <c r="B298" s="103" t="s">
        <v>395</v>
      </c>
      <c r="C298" s="93" t="s">
        <v>20</v>
      </c>
      <c r="D298" s="136" t="s">
        <v>2394</v>
      </c>
      <c r="E298" s="146" t="s">
        <v>2354</v>
      </c>
      <c r="F298" s="146" t="s">
        <v>135</v>
      </c>
      <c r="G298" s="129" t="s">
        <v>2247</v>
      </c>
      <c r="H298" s="131" t="s">
        <v>2247</v>
      </c>
      <c r="I298" s="131" t="s">
        <v>315</v>
      </c>
      <c r="J298" s="131">
        <v>16.79</v>
      </c>
      <c r="K298" s="131">
        <v>794.07</v>
      </c>
      <c r="L298" s="133" t="s">
        <v>2395</v>
      </c>
      <c r="M298" s="133" t="s">
        <v>1835</v>
      </c>
      <c r="N298" s="133"/>
      <c r="O298" s="93"/>
      <c r="P298" s="93"/>
      <c r="Q298" s="131">
        <v>661.52</v>
      </c>
      <c r="R298" s="131">
        <f>581.65+69.39</f>
        <v>651.04</v>
      </c>
      <c r="S298" s="133">
        <v>17.15</v>
      </c>
      <c r="T298" s="131" t="s">
        <v>400</v>
      </c>
      <c r="U298" s="93"/>
    </row>
    <row r="299" spans="1:21" ht="78.75">
      <c r="A299" s="93">
        <v>5</v>
      </c>
      <c r="B299" s="103" t="s">
        <v>395</v>
      </c>
      <c r="C299" s="93" t="s">
        <v>20</v>
      </c>
      <c r="D299" s="136" t="s">
        <v>2399</v>
      </c>
      <c r="E299" s="146" t="s">
        <v>2400</v>
      </c>
      <c r="F299" s="146" t="s">
        <v>159</v>
      </c>
      <c r="G299" s="146" t="s">
        <v>2247</v>
      </c>
      <c r="H299" s="131" t="s">
        <v>2247</v>
      </c>
      <c r="I299" s="131" t="s">
        <v>2387</v>
      </c>
      <c r="J299" s="131">
        <v>10</v>
      </c>
      <c r="K299" s="131">
        <v>452.73</v>
      </c>
      <c r="L299" s="131" t="s">
        <v>681</v>
      </c>
      <c r="M299" s="131" t="s">
        <v>2401</v>
      </c>
      <c r="N299" s="131"/>
      <c r="O299" s="93"/>
      <c r="P299" s="93"/>
      <c r="Q299" s="131">
        <v>532.55</v>
      </c>
      <c r="R299" s="131">
        <f>51.12+236.84</f>
        <v>287.96</v>
      </c>
      <c r="S299" s="131">
        <v>1.2</v>
      </c>
      <c r="T299" s="131" t="s">
        <v>400</v>
      </c>
      <c r="U299" s="93"/>
    </row>
    <row r="300" spans="1:21" ht="92.25">
      <c r="A300" s="93">
        <v>6</v>
      </c>
      <c r="B300" s="103" t="s">
        <v>395</v>
      </c>
      <c r="C300" s="93" t="s">
        <v>20</v>
      </c>
      <c r="D300" s="136" t="s">
        <v>2402</v>
      </c>
      <c r="E300" s="146" t="s">
        <v>2357</v>
      </c>
      <c r="F300" s="146" t="s">
        <v>159</v>
      </c>
      <c r="G300" s="146" t="s">
        <v>2247</v>
      </c>
      <c r="H300" s="131" t="s">
        <v>2247</v>
      </c>
      <c r="I300" s="131" t="s">
        <v>2387</v>
      </c>
      <c r="J300" s="131">
        <v>9</v>
      </c>
      <c r="K300" s="131">
        <v>422.42</v>
      </c>
      <c r="L300" s="131" t="s">
        <v>715</v>
      </c>
      <c r="M300" s="131" t="s">
        <v>1493</v>
      </c>
      <c r="N300" s="131"/>
      <c r="O300" s="93"/>
      <c r="P300" s="93"/>
      <c r="Q300" s="131">
        <v>404.34</v>
      </c>
      <c r="R300" s="131">
        <f>94.28+19.19</f>
        <v>113.47</v>
      </c>
      <c r="S300" s="131"/>
      <c r="T300" s="131" t="s">
        <v>400</v>
      </c>
      <c r="U300" s="93"/>
    </row>
    <row r="301" spans="1:21" ht="92.25">
      <c r="A301" s="93">
        <v>5</v>
      </c>
      <c r="B301" s="103" t="s">
        <v>395</v>
      </c>
      <c r="C301" s="93" t="s">
        <v>20</v>
      </c>
      <c r="D301" s="130" t="s">
        <v>2406</v>
      </c>
      <c r="E301" s="146" t="s">
        <v>2361</v>
      </c>
      <c r="F301" s="146" t="s">
        <v>159</v>
      </c>
      <c r="G301" s="146" t="s">
        <v>20</v>
      </c>
      <c r="H301" s="131" t="s">
        <v>2250</v>
      </c>
      <c r="I301" s="131" t="s">
        <v>2378</v>
      </c>
      <c r="J301" s="131">
        <v>9.25</v>
      </c>
      <c r="K301" s="131">
        <v>393.69</v>
      </c>
      <c r="L301" s="131" t="s">
        <v>2407</v>
      </c>
      <c r="M301" s="131" t="s">
        <v>2347</v>
      </c>
      <c r="N301" s="131"/>
      <c r="O301" s="93"/>
      <c r="P301" s="93"/>
      <c r="Q301" s="131">
        <v>339.51</v>
      </c>
      <c r="R301" s="131">
        <f>301.3+16.31</f>
        <v>317.61</v>
      </c>
      <c r="S301" s="131">
        <v>8.5</v>
      </c>
      <c r="T301" s="131" t="s">
        <v>400</v>
      </c>
      <c r="U301" s="93"/>
    </row>
    <row r="302" spans="1:21" ht="66">
      <c r="A302" s="93">
        <v>6</v>
      </c>
      <c r="B302" s="103" t="s">
        <v>395</v>
      </c>
      <c r="C302" s="93" t="s">
        <v>20</v>
      </c>
      <c r="D302" s="136" t="s">
        <v>2408</v>
      </c>
      <c r="E302" s="146" t="s">
        <v>2369</v>
      </c>
      <c r="F302" s="146" t="s">
        <v>159</v>
      </c>
      <c r="G302" s="146" t="s">
        <v>20</v>
      </c>
      <c r="H302" s="131" t="s">
        <v>2250</v>
      </c>
      <c r="I302" s="131" t="s">
        <v>2378</v>
      </c>
      <c r="J302" s="131">
        <v>1.5</v>
      </c>
      <c r="K302" s="131">
        <v>69.56</v>
      </c>
      <c r="L302" s="131" t="s">
        <v>651</v>
      </c>
      <c r="M302" s="131" t="s">
        <v>671</v>
      </c>
      <c r="N302" s="131"/>
      <c r="O302" s="93"/>
      <c r="P302" s="93"/>
      <c r="Q302" s="131">
        <v>66.19</v>
      </c>
      <c r="R302" s="131">
        <f>27.92+22.58</f>
        <v>50.5</v>
      </c>
      <c r="S302" s="131">
        <v>1.25</v>
      </c>
      <c r="T302" s="131" t="s">
        <v>400</v>
      </c>
      <c r="U302" s="93"/>
    </row>
    <row r="303" spans="1:21" ht="78.75">
      <c r="A303" s="93">
        <v>6</v>
      </c>
      <c r="B303" s="103" t="s">
        <v>415</v>
      </c>
      <c r="C303" s="93" t="s">
        <v>20</v>
      </c>
      <c r="D303" s="64" t="s">
        <v>2412</v>
      </c>
      <c r="E303" s="146" t="s">
        <v>2238</v>
      </c>
      <c r="F303" s="146" t="s">
        <v>391</v>
      </c>
      <c r="G303" s="146" t="s">
        <v>2248</v>
      </c>
      <c r="H303" s="147" t="s">
        <v>2239</v>
      </c>
      <c r="I303" s="147"/>
      <c r="J303" s="131">
        <v>7.85</v>
      </c>
      <c r="K303" s="131">
        <v>402.46</v>
      </c>
      <c r="L303" s="63" t="s">
        <v>1832</v>
      </c>
      <c r="M303" s="63" t="s">
        <v>1268</v>
      </c>
      <c r="N303" s="63"/>
      <c r="O303" s="93"/>
      <c r="P303" s="93"/>
      <c r="Q303" s="98">
        <v>424.82</v>
      </c>
      <c r="R303" s="98">
        <v>182.55</v>
      </c>
      <c r="S303" s="98"/>
      <c r="T303" s="63" t="s">
        <v>400</v>
      </c>
      <c r="U303" s="63" t="s">
        <v>141</v>
      </c>
    </row>
    <row r="304" spans="1:21" ht="132">
      <c r="A304" s="93">
        <v>6</v>
      </c>
      <c r="B304" s="103" t="s">
        <v>415</v>
      </c>
      <c r="C304" s="93" t="s">
        <v>20</v>
      </c>
      <c r="D304" s="64" t="s">
        <v>2413</v>
      </c>
      <c r="E304" s="146" t="s">
        <v>2241</v>
      </c>
      <c r="F304" s="146" t="s">
        <v>159</v>
      </c>
      <c r="G304" s="146" t="s">
        <v>2244</v>
      </c>
      <c r="H304" s="147" t="s">
        <v>2250</v>
      </c>
      <c r="I304" s="147" t="s">
        <v>444</v>
      </c>
      <c r="J304" s="131">
        <v>5.95</v>
      </c>
      <c r="K304" s="131">
        <v>248.85</v>
      </c>
      <c r="L304" s="63" t="s">
        <v>715</v>
      </c>
      <c r="M304" s="63" t="s">
        <v>716</v>
      </c>
      <c r="N304" s="63"/>
      <c r="O304" s="93"/>
      <c r="P304" s="93"/>
      <c r="Q304" s="98">
        <v>241.12</v>
      </c>
      <c r="R304" s="98">
        <v>139.23</v>
      </c>
      <c r="S304" s="98">
        <v>0.5</v>
      </c>
      <c r="T304" s="63" t="s">
        <v>400</v>
      </c>
      <c r="U304" s="63" t="s">
        <v>141</v>
      </c>
    </row>
    <row r="305" spans="1:21" ht="78.75">
      <c r="A305" s="93">
        <v>7</v>
      </c>
      <c r="B305" s="103" t="s">
        <v>415</v>
      </c>
      <c r="C305" s="93" t="s">
        <v>20</v>
      </c>
      <c r="D305" s="64" t="s">
        <v>2414</v>
      </c>
      <c r="E305" s="146" t="s">
        <v>2243</v>
      </c>
      <c r="F305" s="146" t="s">
        <v>135</v>
      </c>
      <c r="G305" s="146" t="s">
        <v>2247</v>
      </c>
      <c r="H305" s="147" t="s">
        <v>2247</v>
      </c>
      <c r="I305" s="147" t="s">
        <v>2415</v>
      </c>
      <c r="J305" s="131">
        <v>9.5</v>
      </c>
      <c r="K305" s="131">
        <v>652.41</v>
      </c>
      <c r="L305" s="63" t="s">
        <v>681</v>
      </c>
      <c r="M305" s="63" t="s">
        <v>2416</v>
      </c>
      <c r="N305" s="63"/>
      <c r="O305" s="93"/>
      <c r="P305" s="93"/>
      <c r="Q305" s="98">
        <v>513.21</v>
      </c>
      <c r="R305" s="98">
        <v>302.24</v>
      </c>
      <c r="S305" s="98">
        <v>5</v>
      </c>
      <c r="T305" s="63" t="s">
        <v>400</v>
      </c>
      <c r="U305" s="63" t="s">
        <v>451</v>
      </c>
    </row>
    <row r="306" spans="1:21" ht="92.25">
      <c r="A306" s="93">
        <v>1</v>
      </c>
      <c r="B306" s="103" t="s">
        <v>415</v>
      </c>
      <c r="C306" s="93" t="s">
        <v>20</v>
      </c>
      <c r="D306" s="64" t="s">
        <v>2417</v>
      </c>
      <c r="E306" s="146" t="s">
        <v>2246</v>
      </c>
      <c r="F306" s="146" t="s">
        <v>135</v>
      </c>
      <c r="G306" s="146" t="s">
        <v>2244</v>
      </c>
      <c r="H306" s="147" t="s">
        <v>2248</v>
      </c>
      <c r="I306" s="147" t="s">
        <v>627</v>
      </c>
      <c r="J306" s="131">
        <v>17</v>
      </c>
      <c r="K306" s="131">
        <v>824.82</v>
      </c>
      <c r="L306" s="63" t="s">
        <v>688</v>
      </c>
      <c r="M306" s="63" t="s">
        <v>2418</v>
      </c>
      <c r="N306" s="63"/>
      <c r="O306" s="93"/>
      <c r="P306" s="93"/>
      <c r="Q306" s="98">
        <v>641.6</v>
      </c>
      <c r="R306" s="98">
        <v>78.07</v>
      </c>
      <c r="S306" s="98">
        <v>1</v>
      </c>
      <c r="T306" s="63" t="s">
        <v>400</v>
      </c>
      <c r="U306" s="63" t="s">
        <v>747</v>
      </c>
    </row>
    <row r="307" spans="1:21" ht="92.25">
      <c r="A307" s="93">
        <v>8</v>
      </c>
      <c r="B307" s="103" t="s">
        <v>445</v>
      </c>
      <c r="C307" s="93" t="s">
        <v>20</v>
      </c>
      <c r="D307" s="66" t="s">
        <v>2419</v>
      </c>
      <c r="E307" s="43" t="s">
        <v>2257</v>
      </c>
      <c r="F307" s="43" t="s">
        <v>138</v>
      </c>
      <c r="G307" s="43" t="s">
        <v>2247</v>
      </c>
      <c r="H307" s="43" t="s">
        <v>2247</v>
      </c>
      <c r="I307" s="142"/>
      <c r="J307" s="67">
        <v>10</v>
      </c>
      <c r="K307" s="70">
        <v>626.01</v>
      </c>
      <c r="L307" s="239"/>
      <c r="M307" s="239"/>
      <c r="N307" s="239"/>
      <c r="O307" s="70"/>
      <c r="P307" s="70"/>
      <c r="Q307" s="239">
        <v>1464.18</v>
      </c>
      <c r="R307" s="70"/>
      <c r="S307" s="70"/>
      <c r="T307" s="142" t="s">
        <v>400</v>
      </c>
      <c r="U307" s="142" t="s">
        <v>451</v>
      </c>
    </row>
    <row r="308" spans="1:21" ht="92.25">
      <c r="A308" s="93">
        <v>9</v>
      </c>
      <c r="B308" s="103" t="s">
        <v>445</v>
      </c>
      <c r="C308" s="93" t="s">
        <v>20</v>
      </c>
      <c r="D308" s="66" t="s">
        <v>2420</v>
      </c>
      <c r="E308" s="43" t="s">
        <v>2299</v>
      </c>
      <c r="F308" s="43" t="s">
        <v>138</v>
      </c>
      <c r="G308" s="43" t="s">
        <v>2247</v>
      </c>
      <c r="H308" s="43" t="s">
        <v>2247</v>
      </c>
      <c r="I308" s="142"/>
      <c r="J308" s="67">
        <v>12</v>
      </c>
      <c r="K308" s="70">
        <v>674.33</v>
      </c>
      <c r="L308" s="240"/>
      <c r="M308" s="240"/>
      <c r="N308" s="240"/>
      <c r="O308" s="70"/>
      <c r="P308" s="70"/>
      <c r="Q308" s="240"/>
      <c r="R308" s="70"/>
      <c r="S308" s="70"/>
      <c r="T308" s="142" t="s">
        <v>400</v>
      </c>
      <c r="U308" s="142" t="s">
        <v>451</v>
      </c>
    </row>
    <row r="309" spans="1:21" ht="92.25">
      <c r="A309" s="93">
        <v>7</v>
      </c>
      <c r="B309" s="103" t="s">
        <v>445</v>
      </c>
      <c r="C309" s="93" t="s">
        <v>20</v>
      </c>
      <c r="D309" s="66" t="s">
        <v>2421</v>
      </c>
      <c r="E309" s="43" t="s">
        <v>2303</v>
      </c>
      <c r="F309" s="43" t="s">
        <v>138</v>
      </c>
      <c r="G309" s="43" t="s">
        <v>2244</v>
      </c>
      <c r="H309" s="43" t="s">
        <v>2250</v>
      </c>
      <c r="I309" s="142" t="s">
        <v>454</v>
      </c>
      <c r="J309" s="67">
        <v>12.525</v>
      </c>
      <c r="K309" s="70">
        <v>539.51</v>
      </c>
      <c r="L309" s="70" t="s">
        <v>2422</v>
      </c>
      <c r="M309" s="70" t="s">
        <v>2423</v>
      </c>
      <c r="N309" s="70"/>
      <c r="O309" s="70"/>
      <c r="P309" s="70"/>
      <c r="Q309" s="70">
        <v>590.07</v>
      </c>
      <c r="R309" s="70">
        <v>105.46</v>
      </c>
      <c r="S309" s="70"/>
      <c r="T309" s="142" t="s">
        <v>400</v>
      </c>
      <c r="U309" s="142" t="s">
        <v>451</v>
      </c>
    </row>
    <row r="310" spans="1:21" ht="78.75">
      <c r="A310" s="93">
        <v>8</v>
      </c>
      <c r="B310" s="103" t="s">
        <v>445</v>
      </c>
      <c r="C310" s="93" t="s">
        <v>20</v>
      </c>
      <c r="D310" s="66" t="s">
        <v>2424</v>
      </c>
      <c r="E310" s="43" t="s">
        <v>2293</v>
      </c>
      <c r="F310" s="43" t="s">
        <v>138</v>
      </c>
      <c r="G310" s="43" t="s">
        <v>2244</v>
      </c>
      <c r="H310" s="43" t="s">
        <v>2250</v>
      </c>
      <c r="I310" s="142" t="s">
        <v>2425</v>
      </c>
      <c r="J310" s="67">
        <v>11.5</v>
      </c>
      <c r="K310" s="70">
        <v>444.51</v>
      </c>
      <c r="L310" s="70" t="s">
        <v>2422</v>
      </c>
      <c r="M310" s="70" t="s">
        <v>2423</v>
      </c>
      <c r="N310" s="70"/>
      <c r="O310" s="70"/>
      <c r="P310" s="70"/>
      <c r="Q310" s="70">
        <v>465.57</v>
      </c>
      <c r="R310" s="70">
        <v>153.62</v>
      </c>
      <c r="S310" s="70"/>
      <c r="T310" s="142" t="s">
        <v>400</v>
      </c>
      <c r="U310" s="142" t="s">
        <v>451</v>
      </c>
    </row>
    <row r="311" spans="1:21" ht="78.75">
      <c r="A311" s="93">
        <v>9</v>
      </c>
      <c r="B311" s="103" t="s">
        <v>445</v>
      </c>
      <c r="C311" s="93" t="s">
        <v>20</v>
      </c>
      <c r="D311" s="66" t="s">
        <v>2426</v>
      </c>
      <c r="E311" s="43" t="s">
        <v>2339</v>
      </c>
      <c r="F311" s="43" t="s">
        <v>138</v>
      </c>
      <c r="G311" s="43" t="s">
        <v>2244</v>
      </c>
      <c r="H311" s="43" t="s">
        <v>2250</v>
      </c>
      <c r="I311" s="142" t="s">
        <v>315</v>
      </c>
      <c r="J311" s="67">
        <v>16.3</v>
      </c>
      <c r="K311" s="70">
        <v>853.78</v>
      </c>
      <c r="L311" s="70" t="s">
        <v>2422</v>
      </c>
      <c r="M311" s="70" t="s">
        <v>2423</v>
      </c>
      <c r="N311" s="70"/>
      <c r="O311" s="70"/>
      <c r="P311" s="70"/>
      <c r="Q311" s="70">
        <v>938.95</v>
      </c>
      <c r="R311" s="70">
        <v>223.75</v>
      </c>
      <c r="S311" s="70"/>
      <c r="T311" s="142" t="s">
        <v>400</v>
      </c>
      <c r="U311" s="142" t="s">
        <v>451</v>
      </c>
    </row>
    <row r="312" spans="1:21" ht="66">
      <c r="A312" s="93">
        <v>2</v>
      </c>
      <c r="B312" s="103" t="s">
        <v>445</v>
      </c>
      <c r="C312" s="93" t="s">
        <v>20</v>
      </c>
      <c r="D312" s="66" t="s">
        <v>2427</v>
      </c>
      <c r="E312" s="43" t="s">
        <v>2342</v>
      </c>
      <c r="F312" s="43" t="s">
        <v>135</v>
      </c>
      <c r="G312" s="43" t="s">
        <v>2244</v>
      </c>
      <c r="H312" s="43" t="s">
        <v>2248</v>
      </c>
      <c r="I312" s="142"/>
      <c r="J312" s="67">
        <v>2.935</v>
      </c>
      <c r="K312" s="70">
        <v>184.52</v>
      </c>
      <c r="L312" s="70"/>
      <c r="M312" s="70"/>
      <c r="N312" s="70"/>
      <c r="O312" s="70"/>
      <c r="P312" s="70"/>
      <c r="Q312" s="70"/>
      <c r="R312" s="70"/>
      <c r="S312" s="70"/>
      <c r="T312" s="142" t="s">
        <v>1118</v>
      </c>
      <c r="U312" s="142" t="s">
        <v>712</v>
      </c>
    </row>
    <row r="313" spans="1:21" ht="78.75">
      <c r="A313" s="93">
        <v>1</v>
      </c>
      <c r="B313" s="103" t="s">
        <v>445</v>
      </c>
      <c r="C313" s="93" t="s">
        <v>20</v>
      </c>
      <c r="D313" s="66" t="s">
        <v>2428</v>
      </c>
      <c r="E313" s="43" t="s">
        <v>2344</v>
      </c>
      <c r="F313" s="43" t="s">
        <v>135</v>
      </c>
      <c r="G313" s="43" t="s">
        <v>2248</v>
      </c>
      <c r="H313" s="43" t="s">
        <v>2248</v>
      </c>
      <c r="I313" s="142"/>
      <c r="J313" s="67">
        <v>2.538</v>
      </c>
      <c r="K313" s="70">
        <v>151.99</v>
      </c>
      <c r="L313" s="70"/>
      <c r="M313" s="70"/>
      <c r="N313" s="70"/>
      <c r="O313" s="70"/>
      <c r="P313" s="70"/>
      <c r="Q313" s="70"/>
      <c r="R313" s="70"/>
      <c r="S313" s="70"/>
      <c r="T313" s="142" t="s">
        <v>1118</v>
      </c>
      <c r="U313" s="142" t="s">
        <v>712</v>
      </c>
    </row>
    <row r="314" spans="1:21" ht="78.75">
      <c r="A314" s="93">
        <v>1</v>
      </c>
      <c r="B314" s="103" t="s">
        <v>445</v>
      </c>
      <c r="C314" s="93" t="s">
        <v>20</v>
      </c>
      <c r="D314" s="66" t="s">
        <v>2429</v>
      </c>
      <c r="E314" s="43" t="s">
        <v>2349</v>
      </c>
      <c r="F314" s="43" t="s">
        <v>135</v>
      </c>
      <c r="G314" s="43" t="s">
        <v>2247</v>
      </c>
      <c r="H314" s="43" t="s">
        <v>2247</v>
      </c>
      <c r="I314" s="142"/>
      <c r="J314" s="67">
        <v>5.971</v>
      </c>
      <c r="K314" s="70">
        <v>400.27</v>
      </c>
      <c r="L314" s="70"/>
      <c r="M314" s="70"/>
      <c r="N314" s="70"/>
      <c r="O314" s="70"/>
      <c r="P314" s="70"/>
      <c r="Q314" s="70"/>
      <c r="R314" s="70"/>
      <c r="S314" s="70"/>
      <c r="T314" s="142" t="s">
        <v>2430</v>
      </c>
      <c r="U314" s="142" t="s">
        <v>712</v>
      </c>
    </row>
    <row r="315" spans="1:21" ht="78.75">
      <c r="A315" s="93">
        <v>2</v>
      </c>
      <c r="B315" s="103" t="s">
        <v>445</v>
      </c>
      <c r="C315" s="93" t="s">
        <v>20</v>
      </c>
      <c r="D315" s="66" t="s">
        <v>2431</v>
      </c>
      <c r="E315" s="43" t="s">
        <v>2351</v>
      </c>
      <c r="F315" s="43" t="s">
        <v>135</v>
      </c>
      <c r="G315" s="43" t="s">
        <v>2248</v>
      </c>
      <c r="H315" s="43" t="s">
        <v>2248</v>
      </c>
      <c r="I315" s="142"/>
      <c r="J315" s="67">
        <v>9.07</v>
      </c>
      <c r="K315" s="70">
        <v>553.9</v>
      </c>
      <c r="L315" s="70"/>
      <c r="M315" s="70"/>
      <c r="N315" s="70"/>
      <c r="O315" s="70"/>
      <c r="P315" s="70"/>
      <c r="Q315" s="70"/>
      <c r="R315" s="70"/>
      <c r="S315" s="70"/>
      <c r="T315" s="142" t="s">
        <v>777</v>
      </c>
      <c r="U315" s="142" t="s">
        <v>712</v>
      </c>
    </row>
    <row r="316" spans="1:21" ht="66">
      <c r="A316" s="93">
        <v>3</v>
      </c>
      <c r="B316" s="103" t="s">
        <v>445</v>
      </c>
      <c r="C316" s="93" t="s">
        <v>20</v>
      </c>
      <c r="D316" s="66" t="s">
        <v>2432</v>
      </c>
      <c r="E316" s="43" t="s">
        <v>2354</v>
      </c>
      <c r="F316" s="43" t="s">
        <v>135</v>
      </c>
      <c r="G316" s="43" t="s">
        <v>2244</v>
      </c>
      <c r="H316" s="43" t="s">
        <v>2250</v>
      </c>
      <c r="I316" s="142"/>
      <c r="J316" s="67">
        <v>5.975</v>
      </c>
      <c r="K316" s="142">
        <v>333.02</v>
      </c>
      <c r="L316" s="142"/>
      <c r="M316" s="142"/>
      <c r="N316" s="142"/>
      <c r="O316" s="142"/>
      <c r="P316" s="142"/>
      <c r="Q316" s="142"/>
      <c r="R316" s="142"/>
      <c r="S316" s="142"/>
      <c r="T316" s="142" t="s">
        <v>777</v>
      </c>
      <c r="U316" s="142" t="s">
        <v>1108</v>
      </c>
    </row>
    <row r="317" spans="1:21" ht="66">
      <c r="A317" s="93">
        <v>3</v>
      </c>
      <c r="B317" s="103" t="s">
        <v>445</v>
      </c>
      <c r="C317" s="93" t="s">
        <v>20</v>
      </c>
      <c r="D317" s="66" t="s">
        <v>2433</v>
      </c>
      <c r="E317" s="43" t="s">
        <v>2397</v>
      </c>
      <c r="F317" s="43" t="s">
        <v>135</v>
      </c>
      <c r="G317" s="43" t="s">
        <v>2248</v>
      </c>
      <c r="H317" s="43" t="s">
        <v>2239</v>
      </c>
      <c r="I317" s="142"/>
      <c r="J317" s="67">
        <v>7.133</v>
      </c>
      <c r="K317" s="142">
        <v>473.9</v>
      </c>
      <c r="L317" s="142"/>
      <c r="M317" s="142"/>
      <c r="N317" s="142"/>
      <c r="O317" s="142"/>
      <c r="P317" s="142"/>
      <c r="Q317" s="142"/>
      <c r="R317" s="142"/>
      <c r="S317" s="142"/>
      <c r="T317" s="142" t="s">
        <v>1118</v>
      </c>
      <c r="U317" s="142" t="s">
        <v>712</v>
      </c>
    </row>
    <row r="318" spans="1:21" ht="66">
      <c r="A318" s="93">
        <v>4</v>
      </c>
      <c r="B318" s="103" t="s">
        <v>445</v>
      </c>
      <c r="C318" s="93" t="s">
        <v>20</v>
      </c>
      <c r="D318" s="66" t="s">
        <v>2434</v>
      </c>
      <c r="E318" s="43" t="s">
        <v>2400</v>
      </c>
      <c r="F318" s="43" t="s">
        <v>135</v>
      </c>
      <c r="G318" s="43" t="s">
        <v>2248</v>
      </c>
      <c r="H318" s="43" t="s">
        <v>2239</v>
      </c>
      <c r="I318" s="142"/>
      <c r="J318" s="67">
        <v>9.365</v>
      </c>
      <c r="K318" s="142">
        <v>526.6</v>
      </c>
      <c r="L318" s="142"/>
      <c r="M318" s="142"/>
      <c r="N318" s="142"/>
      <c r="O318" s="142"/>
      <c r="P318" s="142"/>
      <c r="Q318" s="142"/>
      <c r="R318" s="142"/>
      <c r="S318" s="142"/>
      <c r="T318" s="142" t="s">
        <v>1118</v>
      </c>
      <c r="U318" s="142" t="s">
        <v>712</v>
      </c>
    </row>
    <row r="319" spans="1:21" ht="78.75">
      <c r="A319" s="93">
        <v>4</v>
      </c>
      <c r="B319" s="103" t="s">
        <v>445</v>
      </c>
      <c r="C319" s="93" t="s">
        <v>20</v>
      </c>
      <c r="D319" s="66" t="s">
        <v>2435</v>
      </c>
      <c r="E319" s="43" t="s">
        <v>2357</v>
      </c>
      <c r="F319" s="43" t="s">
        <v>135</v>
      </c>
      <c r="G319" s="43" t="s">
        <v>2244</v>
      </c>
      <c r="H319" s="43" t="s">
        <v>2248</v>
      </c>
      <c r="I319" s="142"/>
      <c r="J319" s="67">
        <v>4.04</v>
      </c>
      <c r="K319" s="142">
        <v>244.94</v>
      </c>
      <c r="L319" s="142"/>
      <c r="M319" s="142"/>
      <c r="N319" s="142"/>
      <c r="O319" s="142"/>
      <c r="P319" s="142"/>
      <c r="Q319" s="142"/>
      <c r="R319" s="142"/>
      <c r="S319" s="142"/>
      <c r="T319" s="142" t="s">
        <v>1118</v>
      </c>
      <c r="U319" s="142" t="s">
        <v>712</v>
      </c>
    </row>
    <row r="320" spans="1:21" ht="54.75">
      <c r="A320" s="93">
        <v>1</v>
      </c>
      <c r="B320" s="103" t="s">
        <v>244</v>
      </c>
      <c r="C320" s="93" t="s">
        <v>2436</v>
      </c>
      <c r="D320" s="36" t="s">
        <v>2494</v>
      </c>
      <c r="E320" s="113" t="s">
        <v>2438</v>
      </c>
      <c r="F320" s="103" t="s">
        <v>135</v>
      </c>
      <c r="G320" s="53" t="s">
        <v>2446</v>
      </c>
      <c r="H320" s="53" t="s">
        <v>2436</v>
      </c>
      <c r="I320" s="107" t="s">
        <v>887</v>
      </c>
      <c r="J320" s="104">
        <v>9</v>
      </c>
      <c r="K320" s="104">
        <v>261.84</v>
      </c>
      <c r="L320" s="104" t="s">
        <v>2495</v>
      </c>
      <c r="M320" s="104" t="s">
        <v>2496</v>
      </c>
      <c r="N320" s="104"/>
      <c r="O320" s="104">
        <v>178.98</v>
      </c>
      <c r="P320" s="104"/>
      <c r="Q320" s="104">
        <f>SUM(O320:P320)</f>
        <v>178.98</v>
      </c>
      <c r="R320" s="104">
        <v>146.65</v>
      </c>
      <c r="S320" s="104">
        <v>7.5</v>
      </c>
      <c r="T320" s="105" t="s">
        <v>284</v>
      </c>
      <c r="U320" s="105" t="s">
        <v>143</v>
      </c>
    </row>
    <row r="321" spans="1:21" ht="69">
      <c r="A321" s="93">
        <v>1</v>
      </c>
      <c r="B321" s="103" t="s">
        <v>244</v>
      </c>
      <c r="C321" s="93" t="s">
        <v>2436</v>
      </c>
      <c r="D321" s="36" t="s">
        <v>2514</v>
      </c>
      <c r="E321" s="113" t="s">
        <v>2488</v>
      </c>
      <c r="F321" s="103" t="s">
        <v>135</v>
      </c>
      <c r="G321" s="53" t="s">
        <v>21</v>
      </c>
      <c r="H321" s="53" t="s">
        <v>2436</v>
      </c>
      <c r="I321" s="107" t="s">
        <v>2515</v>
      </c>
      <c r="J321" s="104">
        <v>12.5</v>
      </c>
      <c r="K321" s="104">
        <v>373.5</v>
      </c>
      <c r="L321" s="104" t="s">
        <v>825</v>
      </c>
      <c r="M321" s="104" t="s">
        <v>826</v>
      </c>
      <c r="N321" s="104"/>
      <c r="O321" s="104">
        <v>333.26</v>
      </c>
      <c r="P321" s="104">
        <v>33.74</v>
      </c>
      <c r="Q321" s="104">
        <f>SUM(O321:P321)</f>
        <v>367</v>
      </c>
      <c r="R321" s="104">
        <v>357.53</v>
      </c>
      <c r="S321" s="104">
        <v>11</v>
      </c>
      <c r="T321" s="106" t="s">
        <v>284</v>
      </c>
      <c r="U321" s="105" t="s">
        <v>143</v>
      </c>
    </row>
    <row r="322" spans="1:21" ht="62.25">
      <c r="A322" s="93">
        <v>1</v>
      </c>
      <c r="B322" s="103" t="s">
        <v>279</v>
      </c>
      <c r="C322" s="93" t="s">
        <v>2436</v>
      </c>
      <c r="D322" s="71" t="s">
        <v>2525</v>
      </c>
      <c r="E322" s="113" t="s">
        <v>2438</v>
      </c>
      <c r="F322" s="103" t="s">
        <v>135</v>
      </c>
      <c r="G322" s="103" t="s">
        <v>21</v>
      </c>
      <c r="H322" s="104" t="s">
        <v>2443</v>
      </c>
      <c r="I322" s="103" t="s">
        <v>2526</v>
      </c>
      <c r="J322" s="104">
        <v>23</v>
      </c>
      <c r="K322" s="104">
        <v>821.18</v>
      </c>
      <c r="L322" s="103" t="s">
        <v>930</v>
      </c>
      <c r="M322" s="103" t="s">
        <v>2527</v>
      </c>
      <c r="N322" s="103"/>
      <c r="O322" s="104">
        <v>771.93</v>
      </c>
      <c r="P322" s="104"/>
      <c r="Q322" s="104">
        <f>SUM(O322:P322)</f>
        <v>771.93</v>
      </c>
      <c r="R322" s="104">
        <f>746.71+54.82</f>
        <v>801.5300000000001</v>
      </c>
      <c r="S322" s="104">
        <v>19</v>
      </c>
      <c r="T322" s="105" t="s">
        <v>284</v>
      </c>
      <c r="U322" s="105" t="s">
        <v>1269</v>
      </c>
    </row>
    <row r="323" spans="1:21" ht="144.75">
      <c r="A323" s="93">
        <v>2</v>
      </c>
      <c r="B323" s="103" t="s">
        <v>389</v>
      </c>
      <c r="C323" s="93" t="s">
        <v>2436</v>
      </c>
      <c r="D323" s="118" t="s">
        <v>2547</v>
      </c>
      <c r="E323" s="228" t="s">
        <v>2455</v>
      </c>
      <c r="F323" s="128" t="s">
        <v>175</v>
      </c>
      <c r="G323" s="128" t="s">
        <v>21</v>
      </c>
      <c r="H323" s="104" t="s">
        <v>2443</v>
      </c>
      <c r="I323" s="228" t="s">
        <v>2548</v>
      </c>
      <c r="J323" s="158" t="s">
        <v>141</v>
      </c>
      <c r="K323" s="158">
        <v>151.04</v>
      </c>
      <c r="L323" s="158" t="s">
        <v>2549</v>
      </c>
      <c r="M323" s="158" t="s">
        <v>2550</v>
      </c>
      <c r="N323" s="241"/>
      <c r="O323" s="243">
        <v>253.19</v>
      </c>
      <c r="P323" s="243"/>
      <c r="Q323" s="243">
        <v>253.19</v>
      </c>
      <c r="R323" s="229">
        <f>76.94+31.59+116.51+12.53</f>
        <v>237.57000000000002</v>
      </c>
      <c r="S323" s="158"/>
      <c r="T323" s="122" t="s">
        <v>284</v>
      </c>
      <c r="U323" s="122" t="s">
        <v>261</v>
      </c>
    </row>
    <row r="324" spans="1:21" ht="144.75">
      <c r="A324" s="93">
        <v>3</v>
      </c>
      <c r="B324" s="103" t="s">
        <v>389</v>
      </c>
      <c r="C324" s="93" t="s">
        <v>2436</v>
      </c>
      <c r="D324" s="118" t="s">
        <v>2551</v>
      </c>
      <c r="E324" s="228"/>
      <c r="F324" s="128" t="s">
        <v>175</v>
      </c>
      <c r="G324" s="128" t="s">
        <v>21</v>
      </c>
      <c r="H324" s="104" t="s">
        <v>2443</v>
      </c>
      <c r="I324" s="228"/>
      <c r="J324" s="158" t="s">
        <v>141</v>
      </c>
      <c r="K324" s="158">
        <v>97.59</v>
      </c>
      <c r="L324" s="158" t="s">
        <v>2549</v>
      </c>
      <c r="M324" s="158" t="s">
        <v>2550</v>
      </c>
      <c r="N324" s="242"/>
      <c r="O324" s="243"/>
      <c r="P324" s="243"/>
      <c r="Q324" s="243"/>
      <c r="R324" s="230"/>
      <c r="S324" s="158"/>
      <c r="T324" s="122" t="s">
        <v>284</v>
      </c>
      <c r="U324" s="122" t="s">
        <v>261</v>
      </c>
    </row>
    <row r="325" spans="1:21" ht="144.75">
      <c r="A325" s="93">
        <v>4</v>
      </c>
      <c r="B325" s="103" t="s">
        <v>389</v>
      </c>
      <c r="C325" s="93" t="s">
        <v>2436</v>
      </c>
      <c r="D325" s="118" t="s">
        <v>2552</v>
      </c>
      <c r="E325" s="128" t="s">
        <v>2481</v>
      </c>
      <c r="F325" s="128" t="s">
        <v>175</v>
      </c>
      <c r="G325" s="128" t="s">
        <v>21</v>
      </c>
      <c r="H325" s="104" t="s">
        <v>2443</v>
      </c>
      <c r="I325" s="128" t="s">
        <v>2553</v>
      </c>
      <c r="J325" s="158" t="s">
        <v>141</v>
      </c>
      <c r="K325" s="158">
        <v>96</v>
      </c>
      <c r="L325" s="158" t="s">
        <v>2549</v>
      </c>
      <c r="M325" s="158" t="s">
        <v>2550</v>
      </c>
      <c r="N325" s="128"/>
      <c r="O325" s="158">
        <v>95.68</v>
      </c>
      <c r="P325" s="158"/>
      <c r="Q325" s="158">
        <v>95.68</v>
      </c>
      <c r="R325" s="158">
        <f>39.47+30.81</f>
        <v>70.28</v>
      </c>
      <c r="S325" s="158"/>
      <c r="T325" s="122" t="s">
        <v>284</v>
      </c>
      <c r="U325" s="122" t="s">
        <v>261</v>
      </c>
    </row>
    <row r="326" spans="1:21" ht="132">
      <c r="A326" s="93">
        <v>5</v>
      </c>
      <c r="B326" s="103" t="s">
        <v>389</v>
      </c>
      <c r="C326" s="93" t="s">
        <v>2436</v>
      </c>
      <c r="D326" s="118" t="s">
        <v>2554</v>
      </c>
      <c r="E326" s="128" t="s">
        <v>2484</v>
      </c>
      <c r="F326" s="128" t="s">
        <v>175</v>
      </c>
      <c r="G326" s="128" t="s">
        <v>21</v>
      </c>
      <c r="H326" s="151" t="s">
        <v>2436</v>
      </c>
      <c r="I326" s="128"/>
      <c r="J326" s="158" t="s">
        <v>141</v>
      </c>
      <c r="K326" s="158">
        <v>141.12</v>
      </c>
      <c r="L326" s="158" t="s">
        <v>1646</v>
      </c>
      <c r="M326" s="158" t="s">
        <v>2555</v>
      </c>
      <c r="N326" s="158"/>
      <c r="O326" s="158">
        <v>141.12</v>
      </c>
      <c r="P326" s="158"/>
      <c r="Q326" s="158">
        <f>SUM(O326:P326)</f>
        <v>141.12</v>
      </c>
      <c r="R326" s="158"/>
      <c r="S326" s="158"/>
      <c r="T326" s="159" t="s">
        <v>284</v>
      </c>
      <c r="U326" s="122" t="s">
        <v>976</v>
      </c>
    </row>
    <row r="327" spans="1:21" ht="144.75">
      <c r="A327" s="93">
        <v>6</v>
      </c>
      <c r="B327" s="103" t="s">
        <v>389</v>
      </c>
      <c r="C327" s="93" t="s">
        <v>2436</v>
      </c>
      <c r="D327" s="118" t="s">
        <v>2556</v>
      </c>
      <c r="E327" s="128" t="s">
        <v>2484</v>
      </c>
      <c r="F327" s="128" t="s">
        <v>175</v>
      </c>
      <c r="G327" s="128" t="s">
        <v>21</v>
      </c>
      <c r="H327" s="151" t="s">
        <v>2436</v>
      </c>
      <c r="I327" s="128"/>
      <c r="J327" s="158" t="s">
        <v>141</v>
      </c>
      <c r="K327" s="158">
        <v>84.2</v>
      </c>
      <c r="L327" s="158" t="s">
        <v>1646</v>
      </c>
      <c r="M327" s="158" t="s">
        <v>2555</v>
      </c>
      <c r="N327" s="158"/>
      <c r="O327" s="158">
        <v>94.18</v>
      </c>
      <c r="P327" s="158"/>
      <c r="Q327" s="158">
        <f aca="true" t="shared" si="4" ref="Q327:Q332">SUM(O327:P327)</f>
        <v>94.18</v>
      </c>
      <c r="R327" s="158"/>
      <c r="S327" s="158"/>
      <c r="T327" s="159" t="s">
        <v>284</v>
      </c>
      <c r="U327" s="122" t="s">
        <v>976</v>
      </c>
    </row>
    <row r="328" spans="1:21" ht="144.75">
      <c r="A328" s="93">
        <v>7</v>
      </c>
      <c r="B328" s="103" t="s">
        <v>389</v>
      </c>
      <c r="C328" s="93" t="s">
        <v>2436</v>
      </c>
      <c r="D328" s="118" t="s">
        <v>2557</v>
      </c>
      <c r="E328" s="128" t="s">
        <v>2484</v>
      </c>
      <c r="F328" s="128" t="s">
        <v>175</v>
      </c>
      <c r="G328" s="128" t="s">
        <v>21</v>
      </c>
      <c r="H328" s="151" t="s">
        <v>2436</v>
      </c>
      <c r="I328" s="128"/>
      <c r="J328" s="158" t="s">
        <v>141</v>
      </c>
      <c r="K328" s="158">
        <v>84.2</v>
      </c>
      <c r="L328" s="158" t="s">
        <v>1646</v>
      </c>
      <c r="M328" s="158" t="s">
        <v>2555</v>
      </c>
      <c r="N328" s="158"/>
      <c r="O328" s="158">
        <v>94.18</v>
      </c>
      <c r="P328" s="158"/>
      <c r="Q328" s="158">
        <f t="shared" si="4"/>
        <v>94.18</v>
      </c>
      <c r="R328" s="158"/>
      <c r="S328" s="158"/>
      <c r="T328" s="159" t="s">
        <v>284</v>
      </c>
      <c r="U328" s="122" t="s">
        <v>976</v>
      </c>
    </row>
    <row r="329" spans="1:21" ht="105">
      <c r="A329" s="93">
        <v>8</v>
      </c>
      <c r="B329" s="103" t="s">
        <v>389</v>
      </c>
      <c r="C329" s="93" t="s">
        <v>2436</v>
      </c>
      <c r="D329" s="118" t="s">
        <v>2558</v>
      </c>
      <c r="E329" s="128" t="s">
        <v>2484</v>
      </c>
      <c r="F329" s="128" t="s">
        <v>175</v>
      </c>
      <c r="G329" s="128" t="s">
        <v>21</v>
      </c>
      <c r="H329" s="151" t="s">
        <v>2436</v>
      </c>
      <c r="I329" s="128"/>
      <c r="J329" s="158" t="s">
        <v>141</v>
      </c>
      <c r="K329" s="158">
        <v>43.56</v>
      </c>
      <c r="L329" s="158" t="s">
        <v>1646</v>
      </c>
      <c r="M329" s="158" t="s">
        <v>2555</v>
      </c>
      <c r="N329" s="158"/>
      <c r="O329" s="158">
        <v>39.86</v>
      </c>
      <c r="P329" s="158"/>
      <c r="Q329" s="158">
        <f t="shared" si="4"/>
        <v>39.86</v>
      </c>
      <c r="R329" s="158"/>
      <c r="S329" s="158"/>
      <c r="T329" s="159" t="s">
        <v>284</v>
      </c>
      <c r="U329" s="122" t="s">
        <v>976</v>
      </c>
    </row>
    <row r="330" spans="1:21" ht="105">
      <c r="A330" s="93">
        <v>9</v>
      </c>
      <c r="B330" s="103" t="s">
        <v>389</v>
      </c>
      <c r="C330" s="93" t="s">
        <v>2436</v>
      </c>
      <c r="D330" s="118" t="s">
        <v>2559</v>
      </c>
      <c r="E330" s="128" t="s">
        <v>2484</v>
      </c>
      <c r="F330" s="128" t="s">
        <v>175</v>
      </c>
      <c r="G330" s="128" t="s">
        <v>21</v>
      </c>
      <c r="H330" s="151" t="s">
        <v>2436</v>
      </c>
      <c r="I330" s="128"/>
      <c r="J330" s="158" t="s">
        <v>141</v>
      </c>
      <c r="K330" s="158">
        <v>43.56</v>
      </c>
      <c r="L330" s="158" t="s">
        <v>1646</v>
      </c>
      <c r="M330" s="158" t="s">
        <v>2555</v>
      </c>
      <c r="N330" s="158"/>
      <c r="O330" s="158">
        <v>39.86</v>
      </c>
      <c r="P330" s="158"/>
      <c r="Q330" s="158">
        <f t="shared" si="4"/>
        <v>39.86</v>
      </c>
      <c r="R330" s="158"/>
      <c r="S330" s="158"/>
      <c r="T330" s="159" t="s">
        <v>284</v>
      </c>
      <c r="U330" s="122" t="s">
        <v>976</v>
      </c>
    </row>
    <row r="331" spans="1:21" ht="105">
      <c r="A331" s="93">
        <v>10</v>
      </c>
      <c r="B331" s="103" t="s">
        <v>389</v>
      </c>
      <c r="C331" s="93" t="s">
        <v>2436</v>
      </c>
      <c r="D331" s="118" t="s">
        <v>2560</v>
      </c>
      <c r="E331" s="128" t="s">
        <v>2484</v>
      </c>
      <c r="F331" s="128" t="s">
        <v>175</v>
      </c>
      <c r="G331" s="128" t="s">
        <v>21</v>
      </c>
      <c r="H331" s="151" t="s">
        <v>2436</v>
      </c>
      <c r="I331" s="128"/>
      <c r="J331" s="158" t="s">
        <v>141</v>
      </c>
      <c r="K331" s="158">
        <v>43.56</v>
      </c>
      <c r="L331" s="158" t="s">
        <v>1646</v>
      </c>
      <c r="M331" s="158" t="s">
        <v>2555</v>
      </c>
      <c r="N331" s="158"/>
      <c r="O331" s="158">
        <v>39.86</v>
      </c>
      <c r="P331" s="158"/>
      <c r="Q331" s="158">
        <f t="shared" si="4"/>
        <v>39.86</v>
      </c>
      <c r="R331" s="158"/>
      <c r="S331" s="158"/>
      <c r="T331" s="159" t="s">
        <v>284</v>
      </c>
      <c r="U331" s="122" t="s">
        <v>976</v>
      </c>
    </row>
    <row r="332" spans="1:21" ht="105">
      <c r="A332" s="93">
        <v>11</v>
      </c>
      <c r="B332" s="103" t="s">
        <v>389</v>
      </c>
      <c r="C332" s="93" t="s">
        <v>2436</v>
      </c>
      <c r="D332" s="118" t="s">
        <v>2561</v>
      </c>
      <c r="E332" s="128" t="s">
        <v>2484</v>
      </c>
      <c r="F332" s="128" t="s">
        <v>175</v>
      </c>
      <c r="G332" s="128" t="s">
        <v>21</v>
      </c>
      <c r="H332" s="151" t="s">
        <v>2436</v>
      </c>
      <c r="I332" s="128"/>
      <c r="J332" s="158" t="s">
        <v>141</v>
      </c>
      <c r="K332" s="158">
        <v>43.56</v>
      </c>
      <c r="L332" s="158" t="s">
        <v>1646</v>
      </c>
      <c r="M332" s="158" t="s">
        <v>2555</v>
      </c>
      <c r="N332" s="158"/>
      <c r="O332" s="158">
        <v>39.86</v>
      </c>
      <c r="P332" s="158"/>
      <c r="Q332" s="158">
        <f t="shared" si="4"/>
        <v>39.86</v>
      </c>
      <c r="R332" s="158"/>
      <c r="S332" s="158"/>
      <c r="T332" s="159" t="s">
        <v>284</v>
      </c>
      <c r="U332" s="122" t="s">
        <v>976</v>
      </c>
    </row>
    <row r="333" spans="1:21" ht="92.25">
      <c r="A333" s="93">
        <v>2</v>
      </c>
      <c r="B333" s="103" t="s">
        <v>395</v>
      </c>
      <c r="C333" s="93" t="s">
        <v>2436</v>
      </c>
      <c r="D333" s="130" t="s">
        <v>2562</v>
      </c>
      <c r="E333" s="146" t="s">
        <v>2438</v>
      </c>
      <c r="F333" s="146" t="s">
        <v>135</v>
      </c>
      <c r="G333" s="146" t="s">
        <v>2446</v>
      </c>
      <c r="H333" s="131" t="s">
        <v>2563</v>
      </c>
      <c r="I333" s="131" t="s">
        <v>933</v>
      </c>
      <c r="J333" s="131">
        <v>14.22</v>
      </c>
      <c r="K333" s="131">
        <v>757.16</v>
      </c>
      <c r="L333" s="131" t="s">
        <v>278</v>
      </c>
      <c r="M333" s="131" t="s">
        <v>661</v>
      </c>
      <c r="N333" s="131"/>
      <c r="O333" s="93"/>
      <c r="P333" s="93"/>
      <c r="Q333" s="131">
        <v>786.15</v>
      </c>
      <c r="R333" s="131">
        <v>420.96</v>
      </c>
      <c r="S333" s="131">
        <v>13</v>
      </c>
      <c r="T333" s="131" t="s">
        <v>400</v>
      </c>
      <c r="U333" s="93"/>
    </row>
    <row r="334" spans="1:21" ht="92.25">
      <c r="A334" s="93">
        <v>3</v>
      </c>
      <c r="B334" s="103" t="s">
        <v>395</v>
      </c>
      <c r="C334" s="93" t="s">
        <v>2436</v>
      </c>
      <c r="D334" s="136" t="s">
        <v>2564</v>
      </c>
      <c r="E334" s="146" t="s">
        <v>2442</v>
      </c>
      <c r="F334" s="146" t="s">
        <v>159</v>
      </c>
      <c r="G334" s="146" t="s">
        <v>2446</v>
      </c>
      <c r="H334" s="131" t="s">
        <v>2563</v>
      </c>
      <c r="I334" s="131" t="s">
        <v>2565</v>
      </c>
      <c r="J334" s="131">
        <v>18</v>
      </c>
      <c r="K334" s="131">
        <v>721.72</v>
      </c>
      <c r="L334" s="131" t="s">
        <v>278</v>
      </c>
      <c r="M334" s="131" t="s">
        <v>661</v>
      </c>
      <c r="N334" s="131"/>
      <c r="O334" s="93"/>
      <c r="P334" s="93"/>
      <c r="Q334" s="131">
        <v>697.78</v>
      </c>
      <c r="R334" s="131">
        <v>441.37</v>
      </c>
      <c r="S334" s="131"/>
      <c r="T334" s="131" t="s">
        <v>400</v>
      </c>
      <c r="U334" s="93"/>
    </row>
    <row r="335" spans="1:21" ht="92.25">
      <c r="A335" s="93">
        <v>4</v>
      </c>
      <c r="B335" s="103" t="s">
        <v>395</v>
      </c>
      <c r="C335" s="93" t="s">
        <v>2436</v>
      </c>
      <c r="D335" s="136" t="s">
        <v>2569</v>
      </c>
      <c r="E335" s="146" t="s">
        <v>2453</v>
      </c>
      <c r="F335" s="146" t="s">
        <v>159</v>
      </c>
      <c r="G335" s="146" t="s">
        <v>2446</v>
      </c>
      <c r="H335" s="131" t="s">
        <v>2563</v>
      </c>
      <c r="I335" s="131" t="s">
        <v>359</v>
      </c>
      <c r="J335" s="131">
        <v>15.35</v>
      </c>
      <c r="K335" s="131">
        <v>677.36</v>
      </c>
      <c r="L335" s="131" t="s">
        <v>278</v>
      </c>
      <c r="M335" s="131" t="s">
        <v>348</v>
      </c>
      <c r="N335" s="131"/>
      <c r="O335" s="93"/>
      <c r="P335" s="93"/>
      <c r="Q335" s="131">
        <v>650.08</v>
      </c>
      <c r="R335" s="131">
        <v>409.78</v>
      </c>
      <c r="S335" s="131">
        <v>4</v>
      </c>
      <c r="T335" s="131" t="s">
        <v>400</v>
      </c>
      <c r="U335" s="93"/>
    </row>
    <row r="336" spans="1:21" ht="66">
      <c r="A336" s="93">
        <v>5</v>
      </c>
      <c r="B336" s="103" t="s">
        <v>415</v>
      </c>
      <c r="C336" s="93" t="s">
        <v>2436</v>
      </c>
      <c r="D336" s="64" t="s">
        <v>2573</v>
      </c>
      <c r="E336" s="146" t="s">
        <v>2442</v>
      </c>
      <c r="F336" s="146" t="s">
        <v>159</v>
      </c>
      <c r="G336" s="146" t="s">
        <v>2446</v>
      </c>
      <c r="H336" s="147" t="s">
        <v>2436</v>
      </c>
      <c r="I336" s="147" t="s">
        <v>2574</v>
      </c>
      <c r="J336" s="131">
        <v>4.13</v>
      </c>
      <c r="K336" s="131">
        <v>162.06</v>
      </c>
      <c r="L336" s="63" t="s">
        <v>963</v>
      </c>
      <c r="M336" s="63" t="s">
        <v>322</v>
      </c>
      <c r="N336" s="63"/>
      <c r="O336" s="93"/>
      <c r="P336" s="93"/>
      <c r="Q336" s="98">
        <v>164.52</v>
      </c>
      <c r="R336" s="98">
        <v>147.14</v>
      </c>
      <c r="S336" s="98">
        <v>4.13</v>
      </c>
      <c r="T336" s="63" t="s">
        <v>400</v>
      </c>
      <c r="U336" s="63" t="s">
        <v>141</v>
      </c>
    </row>
    <row r="337" spans="1:21" ht="66">
      <c r="A337" s="93">
        <v>12</v>
      </c>
      <c r="B337" s="103" t="s">
        <v>415</v>
      </c>
      <c r="C337" s="93" t="s">
        <v>2436</v>
      </c>
      <c r="D337" s="64" t="s">
        <v>2575</v>
      </c>
      <c r="E337" s="146" t="s">
        <v>2449</v>
      </c>
      <c r="F337" s="146" t="s">
        <v>159</v>
      </c>
      <c r="G337" s="128" t="s">
        <v>21</v>
      </c>
      <c r="H337" s="147" t="s">
        <v>2443</v>
      </c>
      <c r="I337" s="147"/>
      <c r="J337" s="131">
        <v>5.63</v>
      </c>
      <c r="K337" s="131">
        <v>205.17</v>
      </c>
      <c r="L337" s="63" t="s">
        <v>2340</v>
      </c>
      <c r="M337" s="63" t="s">
        <v>2576</v>
      </c>
      <c r="N337" s="63"/>
      <c r="O337" s="93"/>
      <c r="P337" s="93"/>
      <c r="Q337" s="98">
        <v>234.28</v>
      </c>
      <c r="R337" s="98">
        <v>174.26</v>
      </c>
      <c r="S337" s="98">
        <v>5.63</v>
      </c>
      <c r="T337" s="63" t="s">
        <v>400</v>
      </c>
      <c r="U337" s="63" t="s">
        <v>141</v>
      </c>
    </row>
    <row r="338" spans="1:21" ht="92.25">
      <c r="A338" s="93">
        <v>13</v>
      </c>
      <c r="B338" s="103" t="s">
        <v>415</v>
      </c>
      <c r="C338" s="93" t="s">
        <v>2436</v>
      </c>
      <c r="D338" s="64" t="s">
        <v>2577</v>
      </c>
      <c r="E338" s="146" t="s">
        <v>2453</v>
      </c>
      <c r="F338" s="146" t="s">
        <v>159</v>
      </c>
      <c r="G338" s="128" t="s">
        <v>21</v>
      </c>
      <c r="H338" s="147" t="s">
        <v>2443</v>
      </c>
      <c r="I338" s="147" t="s">
        <v>2578</v>
      </c>
      <c r="J338" s="131">
        <v>9</v>
      </c>
      <c r="K338" s="131">
        <v>329.8</v>
      </c>
      <c r="L338" s="63" t="s">
        <v>2579</v>
      </c>
      <c r="M338" s="63" t="s">
        <v>2367</v>
      </c>
      <c r="N338" s="63"/>
      <c r="O338" s="93"/>
      <c r="P338" s="93"/>
      <c r="Q338" s="98">
        <v>341.11</v>
      </c>
      <c r="R338" s="98">
        <v>208.28</v>
      </c>
      <c r="S338" s="98">
        <v>7</v>
      </c>
      <c r="T338" s="63" t="s">
        <v>400</v>
      </c>
      <c r="U338" s="63" t="s">
        <v>141</v>
      </c>
    </row>
    <row r="339" spans="1:21" ht="78.75">
      <c r="A339" s="93">
        <v>6</v>
      </c>
      <c r="B339" s="103" t="s">
        <v>415</v>
      </c>
      <c r="C339" s="93" t="s">
        <v>2436</v>
      </c>
      <c r="D339" s="64" t="s">
        <v>2580</v>
      </c>
      <c r="E339" s="146" t="s">
        <v>2481</v>
      </c>
      <c r="F339" s="146" t="s">
        <v>159</v>
      </c>
      <c r="G339" s="146" t="s">
        <v>2446</v>
      </c>
      <c r="H339" s="147" t="s">
        <v>2436</v>
      </c>
      <c r="I339" s="147"/>
      <c r="J339" s="131">
        <v>8.6</v>
      </c>
      <c r="K339" s="131">
        <v>325.67</v>
      </c>
      <c r="L339" s="63" t="s">
        <v>762</v>
      </c>
      <c r="M339" s="63" t="s">
        <v>2581</v>
      </c>
      <c r="N339" s="63"/>
      <c r="O339" s="93"/>
      <c r="P339" s="93"/>
      <c r="Q339" s="98"/>
      <c r="R339" s="98">
        <v>53.41</v>
      </c>
      <c r="S339" s="98"/>
      <c r="T339" s="63" t="s">
        <v>400</v>
      </c>
      <c r="U339" s="63" t="s">
        <v>141</v>
      </c>
    </row>
    <row r="340" spans="1:21" ht="158.25">
      <c r="A340" s="93">
        <v>7</v>
      </c>
      <c r="B340" s="103" t="s">
        <v>415</v>
      </c>
      <c r="C340" s="93" t="s">
        <v>2436</v>
      </c>
      <c r="D340" s="64" t="s">
        <v>2582</v>
      </c>
      <c r="E340" s="146" t="s">
        <v>2484</v>
      </c>
      <c r="F340" s="146" t="s">
        <v>135</v>
      </c>
      <c r="G340" s="146" t="s">
        <v>2446</v>
      </c>
      <c r="H340" s="147" t="s">
        <v>2436</v>
      </c>
      <c r="I340" s="147" t="s">
        <v>933</v>
      </c>
      <c r="J340" s="131">
        <v>4</v>
      </c>
      <c r="K340" s="131">
        <v>197.52</v>
      </c>
      <c r="L340" s="63" t="s">
        <v>2583</v>
      </c>
      <c r="M340" s="63" t="s">
        <v>2584</v>
      </c>
      <c r="N340" s="63"/>
      <c r="O340" s="93"/>
      <c r="P340" s="93"/>
      <c r="Q340" s="98">
        <v>216.37</v>
      </c>
      <c r="R340" s="98">
        <v>80</v>
      </c>
      <c r="S340" s="98">
        <v>4</v>
      </c>
      <c r="T340" s="63" t="s">
        <v>400</v>
      </c>
      <c r="U340" s="63" t="s">
        <v>141</v>
      </c>
    </row>
    <row r="341" spans="1:21" ht="66">
      <c r="A341" s="93">
        <v>14</v>
      </c>
      <c r="B341" s="103" t="s">
        <v>415</v>
      </c>
      <c r="C341" s="93" t="s">
        <v>2436</v>
      </c>
      <c r="D341" s="64" t="s">
        <v>2585</v>
      </c>
      <c r="E341" s="146" t="s">
        <v>2488</v>
      </c>
      <c r="F341" s="146" t="s">
        <v>159</v>
      </c>
      <c r="G341" s="128" t="s">
        <v>21</v>
      </c>
      <c r="H341" s="147" t="s">
        <v>2443</v>
      </c>
      <c r="I341" s="147" t="s">
        <v>2586</v>
      </c>
      <c r="J341" s="131">
        <v>22.45</v>
      </c>
      <c r="K341" s="131">
        <v>956.42</v>
      </c>
      <c r="L341" s="63" t="s">
        <v>2587</v>
      </c>
      <c r="M341" s="63" t="s">
        <v>2588</v>
      </c>
      <c r="N341" s="63"/>
      <c r="O341" s="93"/>
      <c r="P341" s="93"/>
      <c r="Q341" s="98">
        <v>991.36</v>
      </c>
      <c r="R341" s="98">
        <v>505.35</v>
      </c>
      <c r="S341" s="98">
        <v>6</v>
      </c>
      <c r="T341" s="63" t="s">
        <v>400</v>
      </c>
      <c r="U341" s="63" t="s">
        <v>141</v>
      </c>
    </row>
    <row r="342" spans="1:21" ht="92.25" customHeight="1">
      <c r="A342" s="93">
        <v>8</v>
      </c>
      <c r="B342" s="103" t="s">
        <v>445</v>
      </c>
      <c r="C342" s="93" t="s">
        <v>2436</v>
      </c>
      <c r="D342" s="66" t="s">
        <v>2594</v>
      </c>
      <c r="E342" s="146" t="s">
        <v>2595</v>
      </c>
      <c r="F342" s="43" t="s">
        <v>138</v>
      </c>
      <c r="G342" s="43" t="s">
        <v>2446</v>
      </c>
      <c r="H342" s="43" t="s">
        <v>2436</v>
      </c>
      <c r="I342" s="142"/>
      <c r="J342" s="67">
        <v>42</v>
      </c>
      <c r="K342" s="142">
        <v>1690.46</v>
      </c>
      <c r="L342" s="142" t="s">
        <v>2592</v>
      </c>
      <c r="M342" s="142" t="s">
        <v>2593</v>
      </c>
      <c r="N342" s="142"/>
      <c r="O342" s="93"/>
      <c r="P342" s="93"/>
      <c r="Q342" s="142">
        <v>1838.46</v>
      </c>
      <c r="R342" s="142">
        <v>403.41</v>
      </c>
      <c r="S342" s="142">
        <v>6</v>
      </c>
      <c r="T342" s="142" t="s">
        <v>400</v>
      </c>
      <c r="U342" s="142" t="s">
        <v>451</v>
      </c>
    </row>
    <row r="343" spans="1:21" ht="92.25">
      <c r="A343" s="93">
        <v>9</v>
      </c>
      <c r="B343" s="103" t="s">
        <v>445</v>
      </c>
      <c r="C343" s="93" t="s">
        <v>2436</v>
      </c>
      <c r="D343" s="66" t="s">
        <v>2596</v>
      </c>
      <c r="E343" s="146" t="s">
        <v>2597</v>
      </c>
      <c r="F343" s="43" t="s">
        <v>138</v>
      </c>
      <c r="G343" s="43" t="s">
        <v>2446</v>
      </c>
      <c r="H343" s="43" t="s">
        <v>2436</v>
      </c>
      <c r="I343" s="142" t="s">
        <v>933</v>
      </c>
      <c r="J343" s="67">
        <v>12.25</v>
      </c>
      <c r="K343" s="142">
        <v>558.84</v>
      </c>
      <c r="L343" s="142"/>
      <c r="M343" s="142"/>
      <c r="N343" s="142"/>
      <c r="O343" s="93"/>
      <c r="P343" s="93"/>
      <c r="Q343" s="142">
        <v>640.98</v>
      </c>
      <c r="R343" s="142">
        <v>10.06</v>
      </c>
      <c r="S343" s="142"/>
      <c r="T343" s="142" t="s">
        <v>400</v>
      </c>
      <c r="U343" s="142" t="s">
        <v>451</v>
      </c>
    </row>
    <row r="344" spans="1:21" ht="78.75">
      <c r="A344" s="93">
        <v>10</v>
      </c>
      <c r="B344" s="103" t="s">
        <v>445</v>
      </c>
      <c r="C344" s="93" t="s">
        <v>2436</v>
      </c>
      <c r="D344" s="66" t="s">
        <v>2598</v>
      </c>
      <c r="E344" s="146" t="s">
        <v>2599</v>
      </c>
      <c r="F344" s="43" t="s">
        <v>138</v>
      </c>
      <c r="G344" s="43" t="s">
        <v>2446</v>
      </c>
      <c r="H344" s="43" t="s">
        <v>2443</v>
      </c>
      <c r="I344" s="142" t="s">
        <v>2548</v>
      </c>
      <c r="J344" s="67">
        <v>11.25</v>
      </c>
      <c r="K344" s="142">
        <v>573.64</v>
      </c>
      <c r="L344" s="142" t="s">
        <v>1034</v>
      </c>
      <c r="M344" s="142" t="s">
        <v>2600</v>
      </c>
      <c r="N344" s="142"/>
      <c r="O344" s="93"/>
      <c r="P344" s="93"/>
      <c r="Q344" s="142">
        <v>624.64</v>
      </c>
      <c r="R344" s="142">
        <v>285.67</v>
      </c>
      <c r="S344" s="142"/>
      <c r="T344" s="142" t="s">
        <v>400</v>
      </c>
      <c r="U344" s="142" t="s">
        <v>451</v>
      </c>
    </row>
    <row r="345" spans="1:21" ht="78.75">
      <c r="A345" s="93">
        <v>15</v>
      </c>
      <c r="B345" s="103" t="s">
        <v>445</v>
      </c>
      <c r="C345" s="93" t="s">
        <v>2436</v>
      </c>
      <c r="D345" s="66" t="s">
        <v>2601</v>
      </c>
      <c r="E345" s="146" t="s">
        <v>2602</v>
      </c>
      <c r="F345" s="43" t="s">
        <v>138</v>
      </c>
      <c r="G345" s="43" t="s">
        <v>21</v>
      </c>
      <c r="H345" s="43" t="s">
        <v>2443</v>
      </c>
      <c r="I345" s="142" t="s">
        <v>2548</v>
      </c>
      <c r="J345" s="67">
        <v>31.2</v>
      </c>
      <c r="K345" s="142">
        <v>1302.5</v>
      </c>
      <c r="L345" s="142" t="s">
        <v>2340</v>
      </c>
      <c r="M345" s="142" t="s">
        <v>2603</v>
      </c>
      <c r="N345" s="142"/>
      <c r="O345" s="93"/>
      <c r="P345" s="93"/>
      <c r="Q345" s="142">
        <v>1443.99</v>
      </c>
      <c r="R345" s="142">
        <v>932.71</v>
      </c>
      <c r="S345" s="142">
        <v>6</v>
      </c>
      <c r="T345" s="142" t="s">
        <v>400</v>
      </c>
      <c r="U345" s="142" t="s">
        <v>451</v>
      </c>
    </row>
    <row r="346" spans="1:21" ht="105">
      <c r="A346" s="93">
        <v>11</v>
      </c>
      <c r="B346" s="103" t="s">
        <v>445</v>
      </c>
      <c r="C346" s="93" t="s">
        <v>2436</v>
      </c>
      <c r="D346" s="66" t="s">
        <v>2604</v>
      </c>
      <c r="E346" s="146" t="s">
        <v>2605</v>
      </c>
      <c r="F346" s="43" t="s">
        <v>138</v>
      </c>
      <c r="G346" s="43" t="s">
        <v>2446</v>
      </c>
      <c r="H346" s="43" t="s">
        <v>2436</v>
      </c>
      <c r="I346" s="142" t="s">
        <v>2606</v>
      </c>
      <c r="J346" s="67">
        <v>22.6</v>
      </c>
      <c r="K346" s="142">
        <v>871.53</v>
      </c>
      <c r="L346" s="142" t="s">
        <v>2607</v>
      </c>
      <c r="M346" s="142" t="s">
        <v>2603</v>
      </c>
      <c r="N346" s="142"/>
      <c r="O346" s="93"/>
      <c r="P346" s="93"/>
      <c r="Q346" s="142">
        <v>1021.34</v>
      </c>
      <c r="R346" s="142">
        <v>507.2</v>
      </c>
      <c r="S346" s="142">
        <v>4</v>
      </c>
      <c r="T346" s="142" t="s">
        <v>400</v>
      </c>
      <c r="U346" s="142" t="s">
        <v>451</v>
      </c>
    </row>
    <row r="347" spans="1:21" ht="92.25">
      <c r="A347" s="93">
        <v>16</v>
      </c>
      <c r="B347" s="103" t="s">
        <v>462</v>
      </c>
      <c r="C347" s="93" t="s">
        <v>2436</v>
      </c>
      <c r="D347" s="124" t="s">
        <v>2608</v>
      </c>
      <c r="E347" s="146" t="s">
        <v>2493</v>
      </c>
      <c r="F347" s="43" t="s">
        <v>159</v>
      </c>
      <c r="G347" s="128" t="s">
        <v>21</v>
      </c>
      <c r="H347" s="43" t="s">
        <v>2443</v>
      </c>
      <c r="I347" s="142"/>
      <c r="J347" s="67">
        <v>4.862</v>
      </c>
      <c r="K347" s="142">
        <v>257.01</v>
      </c>
      <c r="L347" s="142" t="s">
        <v>2184</v>
      </c>
      <c r="M347" s="142" t="s">
        <v>2609</v>
      </c>
      <c r="N347" s="142"/>
      <c r="O347" s="93"/>
      <c r="P347" s="93"/>
      <c r="Q347" s="142">
        <v>268.29</v>
      </c>
      <c r="R347" s="142">
        <v>225.68</v>
      </c>
      <c r="S347" s="142">
        <v>4.86</v>
      </c>
      <c r="T347" s="142" t="s">
        <v>400</v>
      </c>
      <c r="U347" s="142" t="s">
        <v>451</v>
      </c>
    </row>
    <row r="348" spans="1:21" ht="78.75">
      <c r="A348" s="93">
        <v>17</v>
      </c>
      <c r="B348" s="103" t="s">
        <v>462</v>
      </c>
      <c r="C348" s="93" t="s">
        <v>2436</v>
      </c>
      <c r="D348" s="66" t="s">
        <v>2610</v>
      </c>
      <c r="E348" s="146" t="s">
        <v>2521</v>
      </c>
      <c r="F348" s="43" t="s">
        <v>159</v>
      </c>
      <c r="G348" s="128" t="s">
        <v>21</v>
      </c>
      <c r="H348" s="43" t="s">
        <v>2443</v>
      </c>
      <c r="I348" s="142"/>
      <c r="J348" s="67">
        <v>6.5</v>
      </c>
      <c r="K348" s="142">
        <v>326.98</v>
      </c>
      <c r="L348" s="142" t="s">
        <v>460</v>
      </c>
      <c r="M348" s="142" t="s">
        <v>2611</v>
      </c>
      <c r="N348" s="142"/>
      <c r="O348" s="93"/>
      <c r="P348" s="93"/>
      <c r="Q348" s="142">
        <v>356.91</v>
      </c>
      <c r="R348" s="142">
        <v>81.16</v>
      </c>
      <c r="S348" s="142"/>
      <c r="T348" s="142" t="s">
        <v>400</v>
      </c>
      <c r="U348" s="142" t="s">
        <v>451</v>
      </c>
    </row>
    <row r="349" spans="1:21" ht="118.5">
      <c r="A349" s="93">
        <v>12</v>
      </c>
      <c r="B349" s="103" t="s">
        <v>462</v>
      </c>
      <c r="C349" s="93" t="s">
        <v>2436</v>
      </c>
      <c r="D349" s="66" t="s">
        <v>2612</v>
      </c>
      <c r="E349" s="146" t="s">
        <v>2613</v>
      </c>
      <c r="F349" s="43" t="s">
        <v>159</v>
      </c>
      <c r="G349" s="43" t="s">
        <v>2446</v>
      </c>
      <c r="H349" s="43" t="s">
        <v>2436</v>
      </c>
      <c r="I349" s="142" t="s">
        <v>2614</v>
      </c>
      <c r="J349" s="67">
        <v>12.5</v>
      </c>
      <c r="K349" s="142">
        <v>628.57</v>
      </c>
      <c r="L349" s="142" t="s">
        <v>2592</v>
      </c>
      <c r="M349" s="142" t="s">
        <v>2593</v>
      </c>
      <c r="N349" s="142"/>
      <c r="O349" s="93"/>
      <c r="P349" s="93"/>
      <c r="Q349" s="142">
        <v>686.75</v>
      </c>
      <c r="R349" s="142">
        <v>276.46</v>
      </c>
      <c r="S349" s="142"/>
      <c r="T349" s="142" t="s">
        <v>400</v>
      </c>
      <c r="U349" s="142" t="s">
        <v>451</v>
      </c>
    </row>
    <row r="350" spans="1:21" ht="41.25">
      <c r="A350" s="93">
        <v>1</v>
      </c>
      <c r="B350" s="103" t="s">
        <v>244</v>
      </c>
      <c r="C350" s="93" t="s">
        <v>22</v>
      </c>
      <c r="D350" s="36" t="s">
        <v>2720</v>
      </c>
      <c r="E350" s="146" t="s">
        <v>2616</v>
      </c>
      <c r="F350" s="103" t="s">
        <v>135</v>
      </c>
      <c r="G350" s="53" t="s">
        <v>2632</v>
      </c>
      <c r="H350" s="53" t="s">
        <v>2617</v>
      </c>
      <c r="I350" s="161"/>
      <c r="J350" s="104">
        <v>14</v>
      </c>
      <c r="K350" s="104">
        <v>467.23</v>
      </c>
      <c r="L350" s="104" t="s">
        <v>1242</v>
      </c>
      <c r="M350" s="104" t="s">
        <v>2721</v>
      </c>
      <c r="N350" s="104"/>
      <c r="O350" s="104"/>
      <c r="P350" s="104"/>
      <c r="Q350" s="104"/>
      <c r="R350" s="104">
        <v>19.75</v>
      </c>
      <c r="S350" s="104"/>
      <c r="T350" s="105" t="s">
        <v>284</v>
      </c>
      <c r="U350" s="105" t="s">
        <v>143</v>
      </c>
    </row>
    <row r="351" spans="1:21" ht="54.75">
      <c r="A351" s="93">
        <v>1</v>
      </c>
      <c r="B351" s="103" t="s">
        <v>244</v>
      </c>
      <c r="C351" s="93" t="s">
        <v>22</v>
      </c>
      <c r="D351" s="36" t="s">
        <v>2733</v>
      </c>
      <c r="E351" s="146" t="s">
        <v>2712</v>
      </c>
      <c r="F351" s="103" t="s">
        <v>135</v>
      </c>
      <c r="G351" s="53" t="s">
        <v>2635</v>
      </c>
      <c r="H351" s="53" t="s">
        <v>2630</v>
      </c>
      <c r="I351" s="53" t="s">
        <v>2734</v>
      </c>
      <c r="J351" s="104">
        <v>8.1</v>
      </c>
      <c r="K351" s="104">
        <v>240.75</v>
      </c>
      <c r="L351" s="104" t="s">
        <v>2735</v>
      </c>
      <c r="M351" s="104" t="s">
        <v>2736</v>
      </c>
      <c r="N351" s="104"/>
      <c r="O351" s="104">
        <v>235.28</v>
      </c>
      <c r="P351" s="104"/>
      <c r="Q351" s="104">
        <f>SUM(O351:P351)</f>
        <v>235.28</v>
      </c>
      <c r="R351" s="104">
        <v>166.9</v>
      </c>
      <c r="S351" s="104">
        <v>5.5</v>
      </c>
      <c r="T351" s="106" t="s">
        <v>284</v>
      </c>
      <c r="U351" s="105" t="s">
        <v>2737</v>
      </c>
    </row>
    <row r="352" spans="1:21" ht="54.75">
      <c r="A352" s="93">
        <v>1</v>
      </c>
      <c r="B352" s="103" t="s">
        <v>244</v>
      </c>
      <c r="C352" s="93" t="s">
        <v>22</v>
      </c>
      <c r="D352" s="36" t="s">
        <v>2738</v>
      </c>
      <c r="E352" s="146" t="s">
        <v>2668</v>
      </c>
      <c r="F352" s="103" t="s">
        <v>135</v>
      </c>
      <c r="G352" s="53" t="s">
        <v>2661</v>
      </c>
      <c r="H352" s="103" t="s">
        <v>2651</v>
      </c>
      <c r="I352" s="53" t="s">
        <v>2726</v>
      </c>
      <c r="J352" s="104">
        <v>9.13</v>
      </c>
      <c r="K352" s="104">
        <v>300.31</v>
      </c>
      <c r="L352" s="104" t="s">
        <v>2739</v>
      </c>
      <c r="M352" s="104" t="s">
        <v>2740</v>
      </c>
      <c r="N352" s="104"/>
      <c r="O352" s="104">
        <v>238.81</v>
      </c>
      <c r="P352" s="104"/>
      <c r="Q352" s="104">
        <f>SUM(O352:P352)</f>
        <v>238.81</v>
      </c>
      <c r="R352" s="104">
        <f>0.9+241.04</f>
        <v>241.94</v>
      </c>
      <c r="S352" s="104">
        <v>9</v>
      </c>
      <c r="T352" s="106" t="s">
        <v>284</v>
      </c>
      <c r="U352" s="105" t="s">
        <v>143</v>
      </c>
    </row>
    <row r="353" spans="1:21" ht="46.5">
      <c r="A353" s="93">
        <v>1</v>
      </c>
      <c r="B353" s="103" t="s">
        <v>279</v>
      </c>
      <c r="C353" s="93" t="s">
        <v>22</v>
      </c>
      <c r="D353" s="37" t="s">
        <v>2751</v>
      </c>
      <c r="E353" s="146" t="s">
        <v>2627</v>
      </c>
      <c r="F353" s="103" t="s">
        <v>135</v>
      </c>
      <c r="G353" s="103" t="s">
        <v>2669</v>
      </c>
      <c r="H353" s="103" t="s">
        <v>2630</v>
      </c>
      <c r="I353" s="103" t="s">
        <v>2752</v>
      </c>
      <c r="J353" s="104">
        <v>4.3</v>
      </c>
      <c r="K353" s="104">
        <v>139.12</v>
      </c>
      <c r="L353" s="103" t="s">
        <v>2753</v>
      </c>
      <c r="M353" s="103" t="s">
        <v>1841</v>
      </c>
      <c r="N353" s="103"/>
      <c r="O353" s="104">
        <v>70.3</v>
      </c>
      <c r="P353" s="104"/>
      <c r="Q353" s="104">
        <f>SUM(O353:P353)</f>
        <v>70.3</v>
      </c>
      <c r="R353" s="104">
        <v>48.25</v>
      </c>
      <c r="S353" s="104">
        <v>3</v>
      </c>
      <c r="T353" s="105" t="s">
        <v>284</v>
      </c>
      <c r="U353" s="105" t="s">
        <v>143</v>
      </c>
    </row>
    <row r="354" spans="1:21" ht="62.25">
      <c r="A354" s="93">
        <v>2</v>
      </c>
      <c r="B354" s="103" t="s">
        <v>279</v>
      </c>
      <c r="C354" s="93" t="s">
        <v>22</v>
      </c>
      <c r="D354" s="37" t="s">
        <v>2760</v>
      </c>
      <c r="E354" s="146" t="s">
        <v>2675</v>
      </c>
      <c r="F354" s="103" t="s">
        <v>135</v>
      </c>
      <c r="G354" s="103" t="s">
        <v>2661</v>
      </c>
      <c r="H354" s="103" t="s">
        <v>2695</v>
      </c>
      <c r="I354" s="103"/>
      <c r="J354" s="116">
        <v>14.65</v>
      </c>
      <c r="K354" s="104">
        <v>465.24</v>
      </c>
      <c r="L354" s="103" t="s">
        <v>2422</v>
      </c>
      <c r="M354" s="103" t="s">
        <v>2761</v>
      </c>
      <c r="N354" s="103"/>
      <c r="O354" s="104"/>
      <c r="P354" s="104"/>
      <c r="Q354" s="104"/>
      <c r="R354" s="104">
        <v>88.96</v>
      </c>
      <c r="S354" s="104">
        <v>1</v>
      </c>
      <c r="T354" s="105" t="s">
        <v>284</v>
      </c>
      <c r="U354" s="105" t="s">
        <v>143</v>
      </c>
    </row>
    <row r="355" spans="1:21" ht="93">
      <c r="A355" s="93">
        <v>3</v>
      </c>
      <c r="B355" s="103" t="s">
        <v>279</v>
      </c>
      <c r="C355" s="93" t="s">
        <v>22</v>
      </c>
      <c r="D355" s="37" t="s">
        <v>2764</v>
      </c>
      <c r="E355" s="146" t="s">
        <v>2688</v>
      </c>
      <c r="F355" s="104" t="s">
        <v>159</v>
      </c>
      <c r="G355" s="103" t="s">
        <v>2661</v>
      </c>
      <c r="H355" s="103" t="s">
        <v>2695</v>
      </c>
      <c r="I355" s="103" t="s">
        <v>2765</v>
      </c>
      <c r="J355" s="116">
        <v>5</v>
      </c>
      <c r="K355" s="104">
        <v>114.15</v>
      </c>
      <c r="L355" s="103" t="s">
        <v>1038</v>
      </c>
      <c r="M355" s="103" t="s">
        <v>2766</v>
      </c>
      <c r="N355" s="103"/>
      <c r="O355" s="104">
        <v>143.14</v>
      </c>
      <c r="P355" s="104"/>
      <c r="Q355" s="104">
        <f>SUM(O355:P355)</f>
        <v>143.14</v>
      </c>
      <c r="R355" s="104">
        <v>58.92</v>
      </c>
      <c r="S355" s="104"/>
      <c r="T355" s="105" t="s">
        <v>284</v>
      </c>
      <c r="U355" s="105" t="s">
        <v>261</v>
      </c>
    </row>
    <row r="356" spans="1:21" ht="78">
      <c r="A356" s="93">
        <v>4</v>
      </c>
      <c r="B356" s="103" t="s">
        <v>279</v>
      </c>
      <c r="C356" s="93" t="s">
        <v>22</v>
      </c>
      <c r="D356" s="37" t="s">
        <v>2786</v>
      </c>
      <c r="E356" s="146" t="s">
        <v>2787</v>
      </c>
      <c r="F356" s="108" t="s">
        <v>159</v>
      </c>
      <c r="G356" s="103" t="s">
        <v>2661</v>
      </c>
      <c r="H356" s="102" t="s">
        <v>2695</v>
      </c>
      <c r="I356" s="103" t="s">
        <v>2788</v>
      </c>
      <c r="J356" s="162">
        <v>2</v>
      </c>
      <c r="K356" s="108">
        <v>54.06</v>
      </c>
      <c r="L356" s="103" t="s">
        <v>2789</v>
      </c>
      <c r="M356" s="103" t="s">
        <v>1247</v>
      </c>
      <c r="N356" s="103"/>
      <c r="O356" s="104">
        <v>51.29</v>
      </c>
      <c r="P356" s="104"/>
      <c r="Q356" s="104">
        <f>SUM(O356:P356)</f>
        <v>51.29</v>
      </c>
      <c r="R356" s="104">
        <v>28.55</v>
      </c>
      <c r="S356" s="104">
        <v>2</v>
      </c>
      <c r="T356" s="55" t="s">
        <v>284</v>
      </c>
      <c r="U356" s="55" t="s">
        <v>261</v>
      </c>
    </row>
    <row r="357" spans="1:21" ht="92.25">
      <c r="A357" s="93">
        <v>2</v>
      </c>
      <c r="B357" s="103" t="s">
        <v>313</v>
      </c>
      <c r="C357" s="93" t="s">
        <v>22</v>
      </c>
      <c r="D357" s="39" t="s">
        <v>2795</v>
      </c>
      <c r="E357" s="146" t="s">
        <v>2616</v>
      </c>
      <c r="F357" s="103" t="s">
        <v>135</v>
      </c>
      <c r="G357" s="103" t="s">
        <v>2632</v>
      </c>
      <c r="H357" s="103" t="s">
        <v>2617</v>
      </c>
      <c r="I357" s="103" t="s">
        <v>2730</v>
      </c>
      <c r="J357" s="104">
        <v>16.65</v>
      </c>
      <c r="K357" s="104">
        <v>470.44</v>
      </c>
      <c r="L357" s="104" t="s">
        <v>2080</v>
      </c>
      <c r="M357" s="104" t="s">
        <v>2796</v>
      </c>
      <c r="N357" s="104"/>
      <c r="O357" s="104">
        <v>429.9</v>
      </c>
      <c r="P357" s="104"/>
      <c r="Q357" s="104">
        <f>SUM(O357:P357)</f>
        <v>429.9</v>
      </c>
      <c r="R357" s="104">
        <v>364.58</v>
      </c>
      <c r="S357" s="104">
        <v>16</v>
      </c>
      <c r="T357" s="56" t="s">
        <v>284</v>
      </c>
      <c r="U357" s="56" t="s">
        <v>143</v>
      </c>
    </row>
    <row r="358" spans="1:21" ht="78.75">
      <c r="A358" s="93">
        <v>1</v>
      </c>
      <c r="B358" s="103" t="s">
        <v>313</v>
      </c>
      <c r="C358" s="93" t="s">
        <v>22</v>
      </c>
      <c r="D358" s="39" t="s">
        <v>2805</v>
      </c>
      <c r="E358" s="146" t="s">
        <v>2668</v>
      </c>
      <c r="F358" s="103" t="s">
        <v>135</v>
      </c>
      <c r="G358" s="103" t="s">
        <v>2635</v>
      </c>
      <c r="H358" s="103" t="s">
        <v>2630</v>
      </c>
      <c r="I358" s="103" t="s">
        <v>2806</v>
      </c>
      <c r="J358" s="104">
        <v>8.25</v>
      </c>
      <c r="K358" s="104">
        <v>255.66</v>
      </c>
      <c r="L358" s="104" t="s">
        <v>2807</v>
      </c>
      <c r="M358" s="104" t="s">
        <v>2808</v>
      </c>
      <c r="N358" s="104"/>
      <c r="O358" s="104">
        <v>148.86</v>
      </c>
      <c r="P358" s="104"/>
      <c r="Q358" s="104">
        <f>SUM(O358:P358)</f>
        <v>148.86</v>
      </c>
      <c r="R358" s="104">
        <v>104.24</v>
      </c>
      <c r="S358" s="104">
        <v>7.75</v>
      </c>
      <c r="T358" s="56" t="s">
        <v>284</v>
      </c>
      <c r="U358" s="56" t="s">
        <v>261</v>
      </c>
    </row>
    <row r="359" spans="1:21" ht="78.75">
      <c r="A359" s="93">
        <v>2</v>
      </c>
      <c r="B359" s="103" t="s">
        <v>313</v>
      </c>
      <c r="C359" s="93" t="s">
        <v>22</v>
      </c>
      <c r="D359" s="39" t="s">
        <v>2809</v>
      </c>
      <c r="E359" s="146" t="s">
        <v>2717</v>
      </c>
      <c r="F359" s="103" t="s">
        <v>135</v>
      </c>
      <c r="G359" s="103" t="s">
        <v>2669</v>
      </c>
      <c r="H359" s="103" t="s">
        <v>2630</v>
      </c>
      <c r="I359" s="103" t="s">
        <v>2810</v>
      </c>
      <c r="J359" s="104">
        <v>5.48</v>
      </c>
      <c r="K359" s="104">
        <v>187.34</v>
      </c>
      <c r="L359" s="104" t="s">
        <v>2269</v>
      </c>
      <c r="M359" s="104" t="s">
        <v>2336</v>
      </c>
      <c r="N359" s="104"/>
      <c r="O359" s="104">
        <v>105.15</v>
      </c>
      <c r="P359" s="104"/>
      <c r="Q359" s="104">
        <f>SUM(O359:P359)</f>
        <v>105.15</v>
      </c>
      <c r="R359" s="104">
        <v>100.56</v>
      </c>
      <c r="S359" s="104">
        <v>5</v>
      </c>
      <c r="T359" s="56" t="s">
        <v>284</v>
      </c>
      <c r="U359" s="56" t="s">
        <v>143</v>
      </c>
    </row>
    <row r="360" spans="1:21" ht="78.75">
      <c r="A360" s="93">
        <v>2</v>
      </c>
      <c r="B360" s="103" t="s">
        <v>313</v>
      </c>
      <c r="C360" s="93" t="s">
        <v>22</v>
      </c>
      <c r="D360" s="39" t="s">
        <v>2811</v>
      </c>
      <c r="E360" s="146" t="s">
        <v>2691</v>
      </c>
      <c r="F360" s="103" t="s">
        <v>135</v>
      </c>
      <c r="G360" s="103" t="s">
        <v>2635</v>
      </c>
      <c r="H360" s="103" t="s">
        <v>2630</v>
      </c>
      <c r="I360" s="103" t="s">
        <v>2812</v>
      </c>
      <c r="J360" s="104">
        <v>13.83</v>
      </c>
      <c r="K360" s="104">
        <v>539.69</v>
      </c>
      <c r="L360" s="104" t="s">
        <v>2813</v>
      </c>
      <c r="M360" s="104" t="s">
        <v>408</v>
      </c>
      <c r="N360" s="104"/>
      <c r="O360" s="104">
        <v>306.11</v>
      </c>
      <c r="P360" s="104"/>
      <c r="Q360" s="104">
        <f>SUM(O360:P360)</f>
        <v>306.11</v>
      </c>
      <c r="R360" s="104">
        <v>322.47</v>
      </c>
      <c r="S360" s="104">
        <v>13.83</v>
      </c>
      <c r="T360" s="56" t="s">
        <v>284</v>
      </c>
      <c r="U360" s="105" t="s">
        <v>143</v>
      </c>
    </row>
    <row r="361" spans="1:21" ht="92.25">
      <c r="A361" s="93">
        <v>1</v>
      </c>
      <c r="B361" s="103" t="s">
        <v>313</v>
      </c>
      <c r="C361" s="93" t="s">
        <v>22</v>
      </c>
      <c r="D361" s="39" t="s">
        <v>2819</v>
      </c>
      <c r="E361" s="146" t="s">
        <v>2777</v>
      </c>
      <c r="F361" s="103" t="s">
        <v>135</v>
      </c>
      <c r="G361" s="103" t="s">
        <v>2669</v>
      </c>
      <c r="H361" s="103" t="s">
        <v>2630</v>
      </c>
      <c r="I361" s="103"/>
      <c r="J361" s="104">
        <v>5.7</v>
      </c>
      <c r="K361" s="104">
        <v>213.89</v>
      </c>
      <c r="L361" s="104"/>
      <c r="M361" s="104"/>
      <c r="N361" s="104"/>
      <c r="O361" s="104"/>
      <c r="P361" s="104"/>
      <c r="Q361" s="104"/>
      <c r="R361" s="104">
        <v>1.07</v>
      </c>
      <c r="S361" s="104"/>
      <c r="T361" s="56" t="s">
        <v>1421</v>
      </c>
      <c r="U361" s="56" t="s">
        <v>143</v>
      </c>
    </row>
    <row r="362" spans="1:21" ht="105">
      <c r="A362" s="93">
        <v>5</v>
      </c>
      <c r="B362" s="103" t="s">
        <v>313</v>
      </c>
      <c r="C362" s="93" t="s">
        <v>22</v>
      </c>
      <c r="D362" s="39" t="s">
        <v>2822</v>
      </c>
      <c r="E362" s="146" t="s">
        <v>2784</v>
      </c>
      <c r="F362" s="103" t="s">
        <v>135</v>
      </c>
      <c r="G362" s="103" t="s">
        <v>2661</v>
      </c>
      <c r="H362" s="103" t="s">
        <v>2695</v>
      </c>
      <c r="I362" s="103"/>
      <c r="J362" s="104">
        <v>5.15</v>
      </c>
      <c r="K362" s="104">
        <v>171.71</v>
      </c>
      <c r="L362" s="104" t="s">
        <v>2823</v>
      </c>
      <c r="M362" s="104" t="s">
        <v>2824</v>
      </c>
      <c r="N362" s="104"/>
      <c r="O362" s="104"/>
      <c r="P362" s="104"/>
      <c r="Q362" s="104"/>
      <c r="R362" s="104">
        <v>43.74</v>
      </c>
      <c r="S362" s="104">
        <v>0.5</v>
      </c>
      <c r="T362" s="56" t="s">
        <v>284</v>
      </c>
      <c r="U362" s="56" t="s">
        <v>143</v>
      </c>
    </row>
    <row r="363" spans="1:21" ht="158.25">
      <c r="A363" s="93">
        <v>1</v>
      </c>
      <c r="B363" s="103" t="s">
        <v>313</v>
      </c>
      <c r="C363" s="93" t="s">
        <v>22</v>
      </c>
      <c r="D363" s="39" t="s">
        <v>2825</v>
      </c>
      <c r="E363" s="146" t="s">
        <v>2787</v>
      </c>
      <c r="F363" s="103" t="s">
        <v>159</v>
      </c>
      <c r="G363" s="103" t="s">
        <v>2635</v>
      </c>
      <c r="H363" s="103" t="s">
        <v>2630</v>
      </c>
      <c r="I363" s="103" t="s">
        <v>2826</v>
      </c>
      <c r="J363" s="104">
        <v>14</v>
      </c>
      <c r="K363" s="104">
        <v>601.1</v>
      </c>
      <c r="L363" s="104" t="s">
        <v>333</v>
      </c>
      <c r="M363" s="104" t="s">
        <v>1786</v>
      </c>
      <c r="N363" s="104"/>
      <c r="O363" s="104">
        <v>589.86</v>
      </c>
      <c r="P363" s="104"/>
      <c r="Q363" s="104">
        <f>SUM(O363:P363)</f>
        <v>589.86</v>
      </c>
      <c r="R363" s="104">
        <v>407.78</v>
      </c>
      <c r="S363" s="104">
        <v>5.5</v>
      </c>
      <c r="T363" s="56" t="s">
        <v>260</v>
      </c>
      <c r="U363" s="56" t="s">
        <v>261</v>
      </c>
    </row>
    <row r="364" spans="1:21" ht="184.5">
      <c r="A364" s="93">
        <v>6</v>
      </c>
      <c r="B364" s="103" t="s">
        <v>395</v>
      </c>
      <c r="C364" s="93" t="s">
        <v>22</v>
      </c>
      <c r="D364" s="130" t="s">
        <v>2842</v>
      </c>
      <c r="E364" s="146" t="s">
        <v>2668</v>
      </c>
      <c r="F364" s="146" t="s">
        <v>135</v>
      </c>
      <c r="G364" s="146" t="s">
        <v>2661</v>
      </c>
      <c r="H364" s="131" t="s">
        <v>2651</v>
      </c>
      <c r="I364" s="131" t="s">
        <v>2843</v>
      </c>
      <c r="J364" s="131">
        <v>20.5</v>
      </c>
      <c r="K364" s="131">
        <v>1000.7</v>
      </c>
      <c r="L364" s="131" t="s">
        <v>2844</v>
      </c>
      <c r="M364" s="131" t="s">
        <v>2845</v>
      </c>
      <c r="N364" s="131"/>
      <c r="O364" s="93"/>
      <c r="P364" s="93"/>
      <c r="Q364" s="131">
        <v>906.85</v>
      </c>
      <c r="R364" s="131">
        <v>654.38</v>
      </c>
      <c r="S364" s="131">
        <v>12</v>
      </c>
      <c r="T364" s="131" t="s">
        <v>2846</v>
      </c>
      <c r="U364" s="93"/>
    </row>
    <row r="365" spans="1:21" ht="78.75">
      <c r="A365" s="93">
        <v>3</v>
      </c>
      <c r="B365" s="103" t="s">
        <v>395</v>
      </c>
      <c r="C365" s="93" t="s">
        <v>22</v>
      </c>
      <c r="D365" s="136" t="s">
        <v>2847</v>
      </c>
      <c r="E365" s="146" t="s">
        <v>2717</v>
      </c>
      <c r="F365" s="146" t="s">
        <v>135</v>
      </c>
      <c r="G365" s="129" t="s">
        <v>2635</v>
      </c>
      <c r="H365" s="131" t="s">
        <v>2630</v>
      </c>
      <c r="I365" s="131" t="s">
        <v>2841</v>
      </c>
      <c r="J365" s="131">
        <v>8.28</v>
      </c>
      <c r="K365" s="131">
        <v>400.2</v>
      </c>
      <c r="L365" s="133" t="s">
        <v>2848</v>
      </c>
      <c r="M365" s="133" t="s">
        <v>2849</v>
      </c>
      <c r="N365" s="133"/>
      <c r="O365" s="93"/>
      <c r="P365" s="93"/>
      <c r="Q365" s="131">
        <v>334.2</v>
      </c>
      <c r="R365" s="131">
        <v>293.53</v>
      </c>
      <c r="S365" s="133">
        <v>7.5</v>
      </c>
      <c r="T365" s="131" t="s">
        <v>400</v>
      </c>
      <c r="U365" s="93"/>
    </row>
    <row r="366" spans="1:21" ht="66">
      <c r="A366" s="93">
        <v>3</v>
      </c>
      <c r="B366" s="103" t="s">
        <v>395</v>
      </c>
      <c r="C366" s="93" t="s">
        <v>22</v>
      </c>
      <c r="D366" s="136" t="s">
        <v>2850</v>
      </c>
      <c r="E366" s="146" t="s">
        <v>2673</v>
      </c>
      <c r="F366" s="146" t="s">
        <v>135</v>
      </c>
      <c r="G366" s="146" t="s">
        <v>2669</v>
      </c>
      <c r="H366" s="131" t="s">
        <v>2630</v>
      </c>
      <c r="I366" s="131" t="s">
        <v>2851</v>
      </c>
      <c r="J366" s="131">
        <v>3.78</v>
      </c>
      <c r="K366" s="131">
        <v>183.47</v>
      </c>
      <c r="L366" s="131" t="s">
        <v>408</v>
      </c>
      <c r="M366" s="131" t="s">
        <v>1815</v>
      </c>
      <c r="N366" s="131"/>
      <c r="O366" s="93"/>
      <c r="P366" s="93"/>
      <c r="Q366" s="131">
        <v>181.74</v>
      </c>
      <c r="R366" s="131">
        <v>87.39</v>
      </c>
      <c r="S366" s="131">
        <v>2.7</v>
      </c>
      <c r="T366" s="131" t="s">
        <v>400</v>
      </c>
      <c r="U366" s="93"/>
    </row>
    <row r="367" spans="1:21" ht="78.75">
      <c r="A367" s="93">
        <v>7</v>
      </c>
      <c r="B367" s="103" t="s">
        <v>395</v>
      </c>
      <c r="C367" s="93" t="s">
        <v>22</v>
      </c>
      <c r="D367" s="136" t="s">
        <v>2853</v>
      </c>
      <c r="E367" s="146" t="s">
        <v>2688</v>
      </c>
      <c r="F367" s="146" t="s">
        <v>159</v>
      </c>
      <c r="G367" s="146" t="s">
        <v>2661</v>
      </c>
      <c r="H367" s="131" t="s">
        <v>2695</v>
      </c>
      <c r="I367" s="131" t="s">
        <v>1460</v>
      </c>
      <c r="J367" s="131">
        <v>5.75</v>
      </c>
      <c r="K367" s="131">
        <v>238.68</v>
      </c>
      <c r="L367" s="131" t="s">
        <v>1279</v>
      </c>
      <c r="M367" s="131" t="s">
        <v>1473</v>
      </c>
      <c r="N367" s="131"/>
      <c r="O367" s="93"/>
      <c r="P367" s="93"/>
      <c r="Q367" s="131">
        <v>217.77</v>
      </c>
      <c r="R367" s="131">
        <f>84.03+77.39</f>
        <v>161.42000000000002</v>
      </c>
      <c r="S367" s="131">
        <v>5.75</v>
      </c>
      <c r="T367" s="131" t="s">
        <v>400</v>
      </c>
      <c r="U367" s="93"/>
    </row>
    <row r="368" spans="1:21" ht="78.75">
      <c r="A368" s="93">
        <v>1</v>
      </c>
      <c r="B368" s="103" t="s">
        <v>395</v>
      </c>
      <c r="C368" s="93" t="s">
        <v>22</v>
      </c>
      <c r="D368" s="130" t="s">
        <v>2856</v>
      </c>
      <c r="E368" s="146" t="s">
        <v>2694</v>
      </c>
      <c r="F368" s="146" t="s">
        <v>159</v>
      </c>
      <c r="G368" s="146" t="s">
        <v>2651</v>
      </c>
      <c r="H368" s="131" t="s">
        <v>2651</v>
      </c>
      <c r="I368" s="131" t="s">
        <v>2857</v>
      </c>
      <c r="J368" s="131">
        <v>20.26</v>
      </c>
      <c r="K368" s="131">
        <v>835.83</v>
      </c>
      <c r="L368" s="131" t="s">
        <v>1450</v>
      </c>
      <c r="M368" s="131" t="s">
        <v>2858</v>
      </c>
      <c r="N368" s="131"/>
      <c r="O368" s="93"/>
      <c r="P368" s="93"/>
      <c r="Q368" s="131">
        <v>705.74</v>
      </c>
      <c r="R368" s="131">
        <v>647.66</v>
      </c>
      <c r="S368" s="131">
        <v>19.3</v>
      </c>
      <c r="T368" s="131" t="s">
        <v>400</v>
      </c>
      <c r="U368" s="93"/>
    </row>
    <row r="369" spans="1:21" ht="78.75">
      <c r="A369" s="93">
        <v>2</v>
      </c>
      <c r="B369" s="103" t="s">
        <v>395</v>
      </c>
      <c r="C369" s="93" t="s">
        <v>22</v>
      </c>
      <c r="D369" s="130" t="s">
        <v>2859</v>
      </c>
      <c r="E369" s="146" t="s">
        <v>2698</v>
      </c>
      <c r="F369" s="146" t="s">
        <v>135</v>
      </c>
      <c r="G369" s="146" t="s">
        <v>2651</v>
      </c>
      <c r="H369" s="131" t="s">
        <v>2651</v>
      </c>
      <c r="I369" s="131" t="s">
        <v>1065</v>
      </c>
      <c r="J369" s="131">
        <v>12.37</v>
      </c>
      <c r="K369" s="131">
        <v>654.88</v>
      </c>
      <c r="L369" s="131" t="s">
        <v>278</v>
      </c>
      <c r="M369" s="131" t="s">
        <v>661</v>
      </c>
      <c r="N369" s="131"/>
      <c r="O369" s="93"/>
      <c r="P369" s="93"/>
      <c r="Q369" s="131">
        <v>532.62</v>
      </c>
      <c r="R369" s="131">
        <v>276.85</v>
      </c>
      <c r="S369" s="131">
        <v>5.5</v>
      </c>
      <c r="T369" s="131" t="s">
        <v>400</v>
      </c>
      <c r="U369" s="93"/>
    </row>
    <row r="370" spans="1:21" ht="92.25">
      <c r="A370" s="93">
        <v>8</v>
      </c>
      <c r="B370" s="103" t="s">
        <v>395</v>
      </c>
      <c r="C370" s="93" t="s">
        <v>22</v>
      </c>
      <c r="D370" s="130" t="s">
        <v>2860</v>
      </c>
      <c r="E370" s="146" t="s">
        <v>2700</v>
      </c>
      <c r="F370" s="146" t="s">
        <v>159</v>
      </c>
      <c r="G370" s="146" t="s">
        <v>2661</v>
      </c>
      <c r="H370" s="131" t="s">
        <v>2695</v>
      </c>
      <c r="I370" s="131" t="s">
        <v>2851</v>
      </c>
      <c r="J370" s="131">
        <v>6</v>
      </c>
      <c r="K370" s="131">
        <v>267.12</v>
      </c>
      <c r="L370" s="131" t="s">
        <v>2113</v>
      </c>
      <c r="M370" s="131" t="s">
        <v>2861</v>
      </c>
      <c r="N370" s="131"/>
      <c r="O370" s="93"/>
      <c r="P370" s="93"/>
      <c r="Q370" s="131">
        <v>225.92</v>
      </c>
      <c r="R370" s="131">
        <f>37.3+74.98+0.12</f>
        <v>112.4</v>
      </c>
      <c r="S370" s="131"/>
      <c r="T370" s="131" t="s">
        <v>400</v>
      </c>
      <c r="U370" s="93"/>
    </row>
    <row r="371" spans="1:21" ht="66">
      <c r="A371" s="93">
        <v>1</v>
      </c>
      <c r="B371" s="103" t="s">
        <v>395</v>
      </c>
      <c r="C371" s="93" t="s">
        <v>22</v>
      </c>
      <c r="D371" s="130" t="s">
        <v>2862</v>
      </c>
      <c r="E371" s="146" t="s">
        <v>2775</v>
      </c>
      <c r="F371" s="146" t="s">
        <v>159</v>
      </c>
      <c r="G371" s="146" t="s">
        <v>22</v>
      </c>
      <c r="H371" s="131" t="s">
        <v>2630</v>
      </c>
      <c r="I371" s="131" t="s">
        <v>2810</v>
      </c>
      <c r="J371" s="131">
        <v>14.97</v>
      </c>
      <c r="K371" s="131">
        <v>679.03</v>
      </c>
      <c r="L371" s="131" t="s">
        <v>651</v>
      </c>
      <c r="M371" s="131" t="s">
        <v>348</v>
      </c>
      <c r="N371" s="131"/>
      <c r="O371" s="93"/>
      <c r="P371" s="93"/>
      <c r="Q371" s="131">
        <v>651.34</v>
      </c>
      <c r="R371" s="131">
        <v>180.21</v>
      </c>
      <c r="S371" s="131"/>
      <c r="T371" s="131" t="s">
        <v>400</v>
      </c>
      <c r="U371" s="93"/>
    </row>
    <row r="372" spans="1:21" ht="66">
      <c r="A372" s="93">
        <v>4</v>
      </c>
      <c r="B372" s="103" t="s">
        <v>395</v>
      </c>
      <c r="C372" s="93" t="s">
        <v>22</v>
      </c>
      <c r="D372" s="130" t="s">
        <v>2863</v>
      </c>
      <c r="E372" s="146" t="s">
        <v>2777</v>
      </c>
      <c r="F372" s="146" t="s">
        <v>159</v>
      </c>
      <c r="G372" s="146" t="s">
        <v>2669</v>
      </c>
      <c r="H372" s="131" t="s">
        <v>2630</v>
      </c>
      <c r="I372" s="131" t="s">
        <v>2864</v>
      </c>
      <c r="J372" s="131">
        <v>11</v>
      </c>
      <c r="K372" s="131">
        <v>511.34</v>
      </c>
      <c r="L372" s="131" t="s">
        <v>1443</v>
      </c>
      <c r="M372" s="131" t="s">
        <v>460</v>
      </c>
      <c r="N372" s="131"/>
      <c r="O372" s="93"/>
      <c r="P372" s="93"/>
      <c r="Q372" s="131">
        <v>395.18</v>
      </c>
      <c r="R372" s="131">
        <v>339.87</v>
      </c>
      <c r="S372" s="131">
        <v>9.6</v>
      </c>
      <c r="T372" s="131" t="s">
        <v>400</v>
      </c>
      <c r="U372" s="93"/>
    </row>
    <row r="373" spans="1:21" ht="105">
      <c r="A373" s="93">
        <v>5</v>
      </c>
      <c r="B373" s="103" t="s">
        <v>395</v>
      </c>
      <c r="C373" s="93" t="s">
        <v>22</v>
      </c>
      <c r="D373" s="130" t="s">
        <v>2865</v>
      </c>
      <c r="E373" s="146" t="s">
        <v>2780</v>
      </c>
      <c r="F373" s="146" t="s">
        <v>159</v>
      </c>
      <c r="G373" s="146" t="s">
        <v>2669</v>
      </c>
      <c r="H373" s="131" t="s">
        <v>2630</v>
      </c>
      <c r="I373" s="131" t="s">
        <v>2866</v>
      </c>
      <c r="J373" s="131">
        <v>15</v>
      </c>
      <c r="K373" s="131">
        <v>565.06</v>
      </c>
      <c r="L373" s="131" t="s">
        <v>1475</v>
      </c>
      <c r="M373" s="131" t="s">
        <v>1476</v>
      </c>
      <c r="N373" s="131"/>
      <c r="O373" s="93"/>
      <c r="P373" s="93"/>
      <c r="Q373" s="131">
        <v>518.73</v>
      </c>
      <c r="R373" s="131">
        <v>337.33</v>
      </c>
      <c r="S373" s="131">
        <v>8</v>
      </c>
      <c r="T373" s="131" t="s">
        <v>400</v>
      </c>
      <c r="U373" s="93"/>
    </row>
    <row r="374" spans="1:21" ht="78.75">
      <c r="A374" s="93">
        <v>9</v>
      </c>
      <c r="B374" s="103" t="s">
        <v>395</v>
      </c>
      <c r="C374" s="93" t="s">
        <v>22</v>
      </c>
      <c r="D374" s="130" t="s">
        <v>2875</v>
      </c>
      <c r="E374" s="146" t="s">
        <v>2793</v>
      </c>
      <c r="F374" s="146" t="s">
        <v>159</v>
      </c>
      <c r="G374" s="146" t="s">
        <v>2661</v>
      </c>
      <c r="H374" s="131" t="s">
        <v>2695</v>
      </c>
      <c r="I374" s="131" t="s">
        <v>2548</v>
      </c>
      <c r="J374" s="131">
        <v>15.33</v>
      </c>
      <c r="K374" s="131">
        <v>633.9</v>
      </c>
      <c r="L374" s="131" t="s">
        <v>2113</v>
      </c>
      <c r="M374" s="131" t="s">
        <v>2876</v>
      </c>
      <c r="N374" s="131"/>
      <c r="O374" s="93"/>
      <c r="P374" s="93"/>
      <c r="Q374" s="131">
        <v>530.21</v>
      </c>
      <c r="R374" s="131">
        <v>479.34</v>
      </c>
      <c r="S374" s="131">
        <v>15.33</v>
      </c>
      <c r="T374" s="131" t="s">
        <v>400</v>
      </c>
      <c r="U374" s="93"/>
    </row>
    <row r="375" spans="1:21" ht="66">
      <c r="A375" s="93">
        <v>10</v>
      </c>
      <c r="B375" s="103" t="s">
        <v>395</v>
      </c>
      <c r="C375" s="93" t="s">
        <v>22</v>
      </c>
      <c r="D375" s="130" t="s">
        <v>2877</v>
      </c>
      <c r="E375" s="146" t="s">
        <v>2878</v>
      </c>
      <c r="F375" s="146" t="s">
        <v>159</v>
      </c>
      <c r="G375" s="146" t="s">
        <v>2661</v>
      </c>
      <c r="H375" s="131" t="s">
        <v>2695</v>
      </c>
      <c r="I375" s="131" t="s">
        <v>2817</v>
      </c>
      <c r="J375" s="131">
        <v>12.86</v>
      </c>
      <c r="K375" s="131">
        <v>562.77</v>
      </c>
      <c r="L375" s="131" t="s">
        <v>2113</v>
      </c>
      <c r="M375" s="131" t="s">
        <v>1860</v>
      </c>
      <c r="N375" s="131"/>
      <c r="O375" s="93"/>
      <c r="P375" s="93"/>
      <c r="Q375" s="131">
        <v>511.42</v>
      </c>
      <c r="R375" s="131">
        <v>522.95</v>
      </c>
      <c r="S375" s="131">
        <v>12.86</v>
      </c>
      <c r="T375" s="131" t="s">
        <v>400</v>
      </c>
      <c r="U375" s="93"/>
    </row>
    <row r="376" spans="1:21" ht="66">
      <c r="A376" s="93">
        <v>6</v>
      </c>
      <c r="B376" s="103" t="s">
        <v>415</v>
      </c>
      <c r="C376" s="93" t="s">
        <v>22</v>
      </c>
      <c r="D376" s="64" t="s">
        <v>2879</v>
      </c>
      <c r="E376" s="146" t="s">
        <v>2616</v>
      </c>
      <c r="F376" s="146" t="s">
        <v>159</v>
      </c>
      <c r="G376" s="146" t="s">
        <v>2669</v>
      </c>
      <c r="H376" s="147" t="s">
        <v>2630</v>
      </c>
      <c r="I376" s="147" t="s">
        <v>2866</v>
      </c>
      <c r="J376" s="131">
        <v>3.38</v>
      </c>
      <c r="K376" s="131">
        <v>138.3</v>
      </c>
      <c r="L376" s="63" t="s">
        <v>2880</v>
      </c>
      <c r="M376" s="63" t="s">
        <v>2881</v>
      </c>
      <c r="N376" s="63"/>
      <c r="O376" s="93"/>
      <c r="P376" s="93"/>
      <c r="Q376" s="98">
        <v>149.2</v>
      </c>
      <c r="R376" s="98">
        <v>58.51</v>
      </c>
      <c r="S376" s="98">
        <v>3.6</v>
      </c>
      <c r="T376" s="63" t="s">
        <v>400</v>
      </c>
      <c r="U376" s="63" t="s">
        <v>141</v>
      </c>
    </row>
    <row r="377" spans="1:21" ht="78.75">
      <c r="A377" s="93">
        <v>7</v>
      </c>
      <c r="B377" s="103" t="s">
        <v>415</v>
      </c>
      <c r="C377" s="93" t="s">
        <v>22</v>
      </c>
      <c r="D377" s="64" t="s">
        <v>2886</v>
      </c>
      <c r="E377" s="146" t="s">
        <v>2624</v>
      </c>
      <c r="F377" s="146" t="s">
        <v>159</v>
      </c>
      <c r="G377" s="146" t="s">
        <v>2669</v>
      </c>
      <c r="H377" s="147" t="s">
        <v>2630</v>
      </c>
      <c r="I377" s="147" t="s">
        <v>2887</v>
      </c>
      <c r="J377" s="131">
        <v>4.93</v>
      </c>
      <c r="K377" s="131">
        <v>202.44</v>
      </c>
      <c r="L377" s="63" t="s">
        <v>2884</v>
      </c>
      <c r="M377" s="63" t="s">
        <v>2885</v>
      </c>
      <c r="N377" s="63"/>
      <c r="O377" s="93"/>
      <c r="P377" s="93"/>
      <c r="Q377" s="98">
        <v>213.81</v>
      </c>
      <c r="R377" s="98">
        <v>178.97</v>
      </c>
      <c r="S377" s="98">
        <v>4.93</v>
      </c>
      <c r="T377" s="63" t="s">
        <v>400</v>
      </c>
      <c r="U377" s="63" t="s">
        <v>141</v>
      </c>
    </row>
    <row r="378" spans="1:21" ht="78.75">
      <c r="A378" s="93">
        <v>4</v>
      </c>
      <c r="B378" s="103" t="s">
        <v>445</v>
      </c>
      <c r="C378" s="93" t="s">
        <v>22</v>
      </c>
      <c r="D378" s="66" t="s">
        <v>2888</v>
      </c>
      <c r="E378" s="146" t="s">
        <v>2668</v>
      </c>
      <c r="F378" s="43" t="s">
        <v>391</v>
      </c>
      <c r="G378" s="43" t="s">
        <v>2635</v>
      </c>
      <c r="H378" s="113" t="s">
        <v>2630</v>
      </c>
      <c r="I378" s="142" t="s">
        <v>2889</v>
      </c>
      <c r="J378" s="67">
        <v>5.8</v>
      </c>
      <c r="K378" s="70">
        <v>371.48</v>
      </c>
      <c r="L378" s="70" t="s">
        <v>414</v>
      </c>
      <c r="M378" s="70" t="s">
        <v>1139</v>
      </c>
      <c r="N378" s="70"/>
      <c r="O378" s="93"/>
      <c r="P378" s="93"/>
      <c r="Q378" s="70">
        <v>370.7</v>
      </c>
      <c r="R378" s="70">
        <v>127.04</v>
      </c>
      <c r="S378" s="70"/>
      <c r="T378" s="142" t="s">
        <v>400</v>
      </c>
      <c r="U378" s="142"/>
    </row>
    <row r="379" spans="1:21" ht="78.75">
      <c r="A379" s="93">
        <v>5</v>
      </c>
      <c r="B379" s="103" t="s">
        <v>445</v>
      </c>
      <c r="C379" s="93" t="s">
        <v>22</v>
      </c>
      <c r="D379" s="66" t="s">
        <v>2890</v>
      </c>
      <c r="E379" s="146" t="s">
        <v>2717</v>
      </c>
      <c r="F379" s="43" t="s">
        <v>391</v>
      </c>
      <c r="G379" s="43" t="s">
        <v>2635</v>
      </c>
      <c r="H379" s="113" t="s">
        <v>2630</v>
      </c>
      <c r="I379" s="142" t="s">
        <v>2891</v>
      </c>
      <c r="J379" s="67">
        <v>5.1</v>
      </c>
      <c r="K379" s="70">
        <v>297.84</v>
      </c>
      <c r="L379" s="70" t="s">
        <v>1860</v>
      </c>
      <c r="M379" s="70" t="s">
        <v>2892</v>
      </c>
      <c r="N379" s="70"/>
      <c r="O379" s="93"/>
      <c r="P379" s="93"/>
      <c r="Q379" s="70">
        <v>330.86</v>
      </c>
      <c r="R379" s="70">
        <v>133.45</v>
      </c>
      <c r="S379" s="70"/>
      <c r="T379" s="142" t="s">
        <v>400</v>
      </c>
      <c r="U379" s="142"/>
    </row>
    <row r="380" spans="1:21" ht="66">
      <c r="A380" s="93">
        <v>6</v>
      </c>
      <c r="B380" s="103" t="s">
        <v>445</v>
      </c>
      <c r="C380" s="93" t="s">
        <v>22</v>
      </c>
      <c r="D380" s="66" t="s">
        <v>2893</v>
      </c>
      <c r="E380" s="146" t="s">
        <v>2675</v>
      </c>
      <c r="F380" s="43" t="s">
        <v>391</v>
      </c>
      <c r="G380" s="43" t="s">
        <v>2635</v>
      </c>
      <c r="H380" s="113" t="s">
        <v>2630</v>
      </c>
      <c r="I380" s="142" t="s">
        <v>2889</v>
      </c>
      <c r="J380" s="67">
        <v>4.7</v>
      </c>
      <c r="K380" s="70">
        <v>295</v>
      </c>
      <c r="L380" s="70" t="s">
        <v>414</v>
      </c>
      <c r="M380" s="70" t="s">
        <v>1139</v>
      </c>
      <c r="N380" s="70"/>
      <c r="O380" s="93"/>
      <c r="P380" s="93"/>
      <c r="Q380" s="70">
        <v>304.09</v>
      </c>
      <c r="R380" s="70">
        <v>164.58</v>
      </c>
      <c r="S380" s="70"/>
      <c r="T380" s="142" t="s">
        <v>400</v>
      </c>
      <c r="U380" s="142"/>
    </row>
    <row r="381" spans="1:21" ht="78.75">
      <c r="A381" s="93">
        <v>8</v>
      </c>
      <c r="B381" s="103" t="s">
        <v>445</v>
      </c>
      <c r="C381" s="93" t="s">
        <v>22</v>
      </c>
      <c r="D381" s="66" t="s">
        <v>2894</v>
      </c>
      <c r="E381" s="146" t="s">
        <v>2678</v>
      </c>
      <c r="F381" s="43" t="s">
        <v>391</v>
      </c>
      <c r="G381" s="43" t="s">
        <v>2669</v>
      </c>
      <c r="H381" s="113" t="s">
        <v>2630</v>
      </c>
      <c r="I381" s="142"/>
      <c r="J381" s="67">
        <v>7.16</v>
      </c>
      <c r="K381" s="70">
        <v>446.42</v>
      </c>
      <c r="L381" s="70"/>
      <c r="M381" s="70"/>
      <c r="N381" s="70"/>
      <c r="O381" s="93"/>
      <c r="P381" s="93"/>
      <c r="Q381" s="70">
        <v>499.03</v>
      </c>
      <c r="R381" s="70">
        <v>90.19</v>
      </c>
      <c r="S381" s="70"/>
      <c r="T381" s="142" t="s">
        <v>400</v>
      </c>
      <c r="U381" s="142" t="s">
        <v>141</v>
      </c>
    </row>
    <row r="382" spans="1:21" ht="118.5">
      <c r="A382" s="93">
        <v>7</v>
      </c>
      <c r="B382" s="103" t="s">
        <v>445</v>
      </c>
      <c r="C382" s="93" t="s">
        <v>22</v>
      </c>
      <c r="D382" s="66" t="s">
        <v>2895</v>
      </c>
      <c r="E382" s="146" t="s">
        <v>2681</v>
      </c>
      <c r="F382" s="43" t="s">
        <v>391</v>
      </c>
      <c r="G382" s="43" t="s">
        <v>2635</v>
      </c>
      <c r="H382" s="113" t="s">
        <v>2630</v>
      </c>
      <c r="I382" s="142"/>
      <c r="J382" s="67">
        <v>9.4</v>
      </c>
      <c r="K382" s="70">
        <v>573.26</v>
      </c>
      <c r="L382" s="70" t="s">
        <v>1521</v>
      </c>
      <c r="M382" s="70" t="s">
        <v>2896</v>
      </c>
      <c r="N382" s="70"/>
      <c r="O382" s="93"/>
      <c r="P382" s="93"/>
      <c r="Q382" s="70">
        <v>654.47</v>
      </c>
      <c r="R382" s="70">
        <v>103.53</v>
      </c>
      <c r="S382" s="70"/>
      <c r="T382" s="142" t="s">
        <v>400</v>
      </c>
      <c r="U382" s="142" t="s">
        <v>141</v>
      </c>
    </row>
    <row r="383" spans="1:21" ht="78.75">
      <c r="A383" s="93">
        <v>8</v>
      </c>
      <c r="B383" s="103" t="s">
        <v>445</v>
      </c>
      <c r="C383" s="93" t="s">
        <v>22</v>
      </c>
      <c r="D383" s="66" t="s">
        <v>2897</v>
      </c>
      <c r="E383" s="146" t="s">
        <v>2685</v>
      </c>
      <c r="F383" s="43" t="s">
        <v>391</v>
      </c>
      <c r="G383" s="43" t="s">
        <v>2635</v>
      </c>
      <c r="H383" s="113" t="s">
        <v>2630</v>
      </c>
      <c r="I383" s="142" t="s">
        <v>2898</v>
      </c>
      <c r="J383" s="67">
        <v>4.5</v>
      </c>
      <c r="K383" s="70">
        <v>324.55</v>
      </c>
      <c r="L383" s="70" t="s">
        <v>1478</v>
      </c>
      <c r="M383" s="70" t="s">
        <v>1479</v>
      </c>
      <c r="N383" s="70"/>
      <c r="O383" s="93"/>
      <c r="P383" s="93"/>
      <c r="Q383" s="70">
        <v>351.93</v>
      </c>
      <c r="R383" s="70">
        <v>191.51</v>
      </c>
      <c r="S383" s="70"/>
      <c r="T383" s="142" t="s">
        <v>400</v>
      </c>
      <c r="U383" s="142"/>
    </row>
    <row r="384" spans="1:21" ht="66">
      <c r="A384" s="93">
        <v>11</v>
      </c>
      <c r="B384" s="103" t="s">
        <v>445</v>
      </c>
      <c r="C384" s="93" t="s">
        <v>22</v>
      </c>
      <c r="D384" s="66" t="s">
        <v>2899</v>
      </c>
      <c r="E384" s="146" t="s">
        <v>2691</v>
      </c>
      <c r="F384" s="43" t="s">
        <v>391</v>
      </c>
      <c r="G384" s="43" t="s">
        <v>2661</v>
      </c>
      <c r="H384" s="72" t="s">
        <v>2695</v>
      </c>
      <c r="I384" s="142"/>
      <c r="J384" s="67">
        <v>12.9147</v>
      </c>
      <c r="K384" s="142">
        <v>734.67</v>
      </c>
      <c r="L384" s="142" t="s">
        <v>2900</v>
      </c>
      <c r="M384" s="142" t="s">
        <v>2901</v>
      </c>
      <c r="N384" s="142"/>
      <c r="O384" s="93"/>
      <c r="P384" s="93"/>
      <c r="Q384" s="142">
        <v>609.84</v>
      </c>
      <c r="R384" s="142">
        <v>1.72</v>
      </c>
      <c r="S384" s="142"/>
      <c r="T384" s="142" t="s">
        <v>400</v>
      </c>
      <c r="U384" s="142" t="s">
        <v>141</v>
      </c>
    </row>
    <row r="385" spans="1:21" ht="78.75">
      <c r="A385" s="93">
        <v>12</v>
      </c>
      <c r="B385" s="103" t="s">
        <v>445</v>
      </c>
      <c r="C385" s="93" t="s">
        <v>22</v>
      </c>
      <c r="D385" s="66" t="s">
        <v>2902</v>
      </c>
      <c r="E385" s="146" t="s">
        <v>2694</v>
      </c>
      <c r="F385" s="43" t="s">
        <v>391</v>
      </c>
      <c r="G385" s="43" t="s">
        <v>2661</v>
      </c>
      <c r="H385" s="72" t="s">
        <v>2695</v>
      </c>
      <c r="I385" s="142"/>
      <c r="J385" s="67">
        <v>4.975</v>
      </c>
      <c r="K385" s="70">
        <v>282.38</v>
      </c>
      <c r="L385" s="70" t="s">
        <v>2903</v>
      </c>
      <c r="M385" s="70" t="s">
        <v>2904</v>
      </c>
      <c r="N385" s="70"/>
      <c r="O385" s="93"/>
      <c r="P385" s="93"/>
      <c r="Q385" s="70">
        <v>276.1</v>
      </c>
      <c r="R385" s="70">
        <v>61.65</v>
      </c>
      <c r="S385" s="70"/>
      <c r="T385" s="142" t="s">
        <v>400</v>
      </c>
      <c r="U385" s="142" t="s">
        <v>141</v>
      </c>
    </row>
    <row r="386" spans="1:21" ht="78.75">
      <c r="A386" s="93">
        <v>3</v>
      </c>
      <c r="B386" s="103" t="s">
        <v>445</v>
      </c>
      <c r="C386" s="93" t="s">
        <v>22</v>
      </c>
      <c r="D386" s="66" t="s">
        <v>2905</v>
      </c>
      <c r="E386" s="146" t="s">
        <v>2698</v>
      </c>
      <c r="F386" s="43" t="s">
        <v>391</v>
      </c>
      <c r="G386" s="43" t="s">
        <v>2651</v>
      </c>
      <c r="H386" s="72" t="s">
        <v>2906</v>
      </c>
      <c r="I386" s="142" t="s">
        <v>1065</v>
      </c>
      <c r="J386" s="67">
        <v>18.477</v>
      </c>
      <c r="K386" s="70">
        <v>1164.99</v>
      </c>
      <c r="L386" s="70" t="s">
        <v>661</v>
      </c>
      <c r="M386" s="70" t="s">
        <v>2213</v>
      </c>
      <c r="N386" s="70"/>
      <c r="O386" s="93"/>
      <c r="P386" s="93"/>
      <c r="Q386" s="70">
        <v>1205.01</v>
      </c>
      <c r="R386" s="70">
        <v>251.88</v>
      </c>
      <c r="S386" s="70"/>
      <c r="T386" s="142" t="s">
        <v>400</v>
      </c>
      <c r="U386" s="142"/>
    </row>
    <row r="387" spans="1:21" ht="66">
      <c r="A387" s="93">
        <v>4</v>
      </c>
      <c r="B387" s="103" t="s">
        <v>445</v>
      </c>
      <c r="C387" s="93" t="s">
        <v>22</v>
      </c>
      <c r="D387" s="66" t="s">
        <v>2907</v>
      </c>
      <c r="E387" s="146" t="s">
        <v>2700</v>
      </c>
      <c r="F387" s="43" t="s">
        <v>391</v>
      </c>
      <c r="G387" s="43" t="s">
        <v>2651</v>
      </c>
      <c r="H387" s="72" t="s">
        <v>2906</v>
      </c>
      <c r="I387" s="142" t="s">
        <v>351</v>
      </c>
      <c r="J387" s="67">
        <v>11.275</v>
      </c>
      <c r="K387" s="142">
        <v>666.78</v>
      </c>
      <c r="L387" s="142" t="s">
        <v>1455</v>
      </c>
      <c r="M387" s="142" t="s">
        <v>2908</v>
      </c>
      <c r="N387" s="142"/>
      <c r="O387" s="93"/>
      <c r="P387" s="93"/>
      <c r="Q387" s="142">
        <v>613.97</v>
      </c>
      <c r="R387" s="142">
        <v>328.25</v>
      </c>
      <c r="S387" s="142">
        <v>4.2</v>
      </c>
      <c r="T387" s="142" t="s">
        <v>400</v>
      </c>
      <c r="U387" s="142"/>
    </row>
    <row r="388" spans="1:21" ht="66">
      <c r="A388" s="93">
        <v>3</v>
      </c>
      <c r="B388" s="103" t="s">
        <v>445</v>
      </c>
      <c r="C388" s="93" t="s">
        <v>22</v>
      </c>
      <c r="D388" s="66" t="s">
        <v>2909</v>
      </c>
      <c r="E388" s="146" t="s">
        <v>2791</v>
      </c>
      <c r="F388" s="43" t="s">
        <v>391</v>
      </c>
      <c r="G388" s="43" t="s">
        <v>2632</v>
      </c>
      <c r="H388" s="72" t="s">
        <v>2617</v>
      </c>
      <c r="I388" s="142" t="s">
        <v>2910</v>
      </c>
      <c r="J388" s="67">
        <v>7</v>
      </c>
      <c r="K388" s="70">
        <v>347.18</v>
      </c>
      <c r="L388" s="70" t="s">
        <v>2911</v>
      </c>
      <c r="M388" s="70" t="s">
        <v>2912</v>
      </c>
      <c r="N388" s="70"/>
      <c r="O388" s="93"/>
      <c r="P388" s="93"/>
      <c r="Q388" s="70">
        <v>376.75</v>
      </c>
      <c r="R388" s="70">
        <v>141.36</v>
      </c>
      <c r="S388" s="70"/>
      <c r="T388" s="142" t="s">
        <v>400</v>
      </c>
      <c r="U388" s="142"/>
    </row>
    <row r="389" spans="1:21" ht="105">
      <c r="A389" s="93">
        <v>13</v>
      </c>
      <c r="B389" s="103" t="s">
        <v>445</v>
      </c>
      <c r="C389" s="93" t="s">
        <v>22</v>
      </c>
      <c r="D389" s="66" t="s">
        <v>2913</v>
      </c>
      <c r="E389" s="146" t="s">
        <v>2793</v>
      </c>
      <c r="F389" s="43" t="s">
        <v>391</v>
      </c>
      <c r="G389" s="43" t="s">
        <v>2661</v>
      </c>
      <c r="H389" s="72" t="s">
        <v>2906</v>
      </c>
      <c r="I389" s="142" t="s">
        <v>2821</v>
      </c>
      <c r="J389" s="67">
        <v>8.983</v>
      </c>
      <c r="K389" s="70">
        <v>446.36</v>
      </c>
      <c r="L389" s="70" t="s">
        <v>1287</v>
      </c>
      <c r="M389" s="70" t="s">
        <v>2914</v>
      </c>
      <c r="N389" s="70"/>
      <c r="O389" s="93"/>
      <c r="P389" s="93"/>
      <c r="Q389" s="70">
        <v>437.09</v>
      </c>
      <c r="R389" s="70">
        <v>229.68</v>
      </c>
      <c r="S389" s="70"/>
      <c r="T389" s="142" t="s">
        <v>400</v>
      </c>
      <c r="U389" s="142"/>
    </row>
    <row r="390" spans="1:21" ht="78.75">
      <c r="A390" s="93">
        <v>14</v>
      </c>
      <c r="B390" s="103" t="s">
        <v>445</v>
      </c>
      <c r="C390" s="93" t="s">
        <v>22</v>
      </c>
      <c r="D390" s="66" t="s">
        <v>2915</v>
      </c>
      <c r="E390" s="146" t="s">
        <v>2829</v>
      </c>
      <c r="F390" s="43" t="s">
        <v>391</v>
      </c>
      <c r="G390" s="43" t="s">
        <v>2661</v>
      </c>
      <c r="H390" s="72" t="s">
        <v>2695</v>
      </c>
      <c r="I390" s="142"/>
      <c r="J390" s="67">
        <v>3.5</v>
      </c>
      <c r="K390" s="70">
        <v>229.21</v>
      </c>
      <c r="L390" s="70"/>
      <c r="M390" s="70"/>
      <c r="N390" s="70"/>
      <c r="O390" s="93"/>
      <c r="P390" s="93"/>
      <c r="Q390" s="70"/>
      <c r="R390" s="70">
        <v>57.27</v>
      </c>
      <c r="S390" s="70"/>
      <c r="T390" s="142" t="s">
        <v>400</v>
      </c>
      <c r="U390" s="142" t="s">
        <v>141</v>
      </c>
    </row>
    <row r="391" spans="1:21" ht="66">
      <c r="A391" s="93">
        <v>15</v>
      </c>
      <c r="B391" s="103" t="s">
        <v>445</v>
      </c>
      <c r="C391" s="93" t="s">
        <v>22</v>
      </c>
      <c r="D391" s="66" t="s">
        <v>2916</v>
      </c>
      <c r="E391" s="146" t="s">
        <v>2833</v>
      </c>
      <c r="F391" s="43" t="s">
        <v>391</v>
      </c>
      <c r="G391" s="43" t="s">
        <v>2661</v>
      </c>
      <c r="H391" s="72" t="s">
        <v>2695</v>
      </c>
      <c r="I391" s="142" t="s">
        <v>2917</v>
      </c>
      <c r="J391" s="67">
        <v>6.35</v>
      </c>
      <c r="K391" s="70">
        <v>383.18</v>
      </c>
      <c r="L391" s="70" t="s">
        <v>2340</v>
      </c>
      <c r="M391" s="70" t="s">
        <v>2576</v>
      </c>
      <c r="N391" s="70"/>
      <c r="O391" s="93"/>
      <c r="P391" s="93"/>
      <c r="Q391" s="70">
        <v>413.7</v>
      </c>
      <c r="R391" s="70">
        <v>243.22</v>
      </c>
      <c r="S391" s="70">
        <v>1</v>
      </c>
      <c r="T391" s="142" t="s">
        <v>400</v>
      </c>
      <c r="U391" s="142"/>
    </row>
    <row r="392" spans="1:21" ht="66">
      <c r="A392" s="93">
        <v>2</v>
      </c>
      <c r="B392" s="103" t="s">
        <v>445</v>
      </c>
      <c r="C392" s="93" t="s">
        <v>22</v>
      </c>
      <c r="D392" s="66" t="s">
        <v>2918</v>
      </c>
      <c r="E392" s="146" t="s">
        <v>2919</v>
      </c>
      <c r="F392" s="43" t="s">
        <v>391</v>
      </c>
      <c r="G392" s="43" t="s">
        <v>22</v>
      </c>
      <c r="H392" s="72" t="s">
        <v>2617</v>
      </c>
      <c r="I392" s="142" t="s">
        <v>2920</v>
      </c>
      <c r="J392" s="67">
        <v>4.875</v>
      </c>
      <c r="K392" s="70">
        <v>299.04</v>
      </c>
      <c r="L392" s="70" t="s">
        <v>1478</v>
      </c>
      <c r="M392" s="70" t="s">
        <v>1479</v>
      </c>
      <c r="N392" s="70"/>
      <c r="O392" s="93"/>
      <c r="P392" s="93"/>
      <c r="Q392" s="70">
        <v>300.32</v>
      </c>
      <c r="R392" s="70">
        <v>154.24</v>
      </c>
      <c r="S392" s="70"/>
      <c r="T392" s="142" t="s">
        <v>400</v>
      </c>
      <c r="U392" s="142"/>
    </row>
    <row r="393" spans="1:21" ht="66">
      <c r="A393" s="93">
        <v>9</v>
      </c>
      <c r="B393" s="103" t="s">
        <v>445</v>
      </c>
      <c r="C393" s="93" t="s">
        <v>22</v>
      </c>
      <c r="D393" s="66" t="s">
        <v>2921</v>
      </c>
      <c r="E393" s="146" t="s">
        <v>2922</v>
      </c>
      <c r="F393" s="43" t="s">
        <v>391</v>
      </c>
      <c r="G393" s="43" t="s">
        <v>2669</v>
      </c>
      <c r="H393" s="113" t="s">
        <v>2630</v>
      </c>
      <c r="I393" s="142"/>
      <c r="J393" s="67">
        <v>11.5</v>
      </c>
      <c r="K393" s="70">
        <v>755.95</v>
      </c>
      <c r="L393" s="70" t="s">
        <v>1493</v>
      </c>
      <c r="M393" s="70" t="s">
        <v>2923</v>
      </c>
      <c r="N393" s="70"/>
      <c r="O393" s="93"/>
      <c r="P393" s="93"/>
      <c r="Q393" s="70">
        <v>752.32</v>
      </c>
      <c r="R393" s="70">
        <v>187.41</v>
      </c>
      <c r="S393" s="70"/>
      <c r="T393" s="63" t="s">
        <v>400</v>
      </c>
      <c r="U393" s="142"/>
    </row>
    <row r="394" spans="1:21" ht="66">
      <c r="A394" s="93">
        <v>10</v>
      </c>
      <c r="B394" s="103" t="s">
        <v>445</v>
      </c>
      <c r="C394" s="93" t="s">
        <v>22</v>
      </c>
      <c r="D394" s="66" t="s">
        <v>2924</v>
      </c>
      <c r="E394" s="146" t="s">
        <v>2925</v>
      </c>
      <c r="F394" s="43" t="s">
        <v>391</v>
      </c>
      <c r="G394" s="43" t="s">
        <v>2669</v>
      </c>
      <c r="H394" s="113" t="s">
        <v>2630</v>
      </c>
      <c r="I394" s="142" t="s">
        <v>2926</v>
      </c>
      <c r="J394" s="67">
        <v>14.275</v>
      </c>
      <c r="K394" s="142">
        <v>877.95</v>
      </c>
      <c r="L394" s="142" t="s">
        <v>1483</v>
      </c>
      <c r="M394" s="142" t="s">
        <v>2927</v>
      </c>
      <c r="N394" s="142"/>
      <c r="O394" s="93"/>
      <c r="P394" s="93"/>
      <c r="Q394" s="142">
        <v>869.97</v>
      </c>
      <c r="R394" s="142">
        <v>262.72</v>
      </c>
      <c r="S394" s="142"/>
      <c r="T394" s="142" t="s">
        <v>400</v>
      </c>
      <c r="U394" s="142"/>
    </row>
    <row r="395" spans="1:21" ht="78.75">
      <c r="A395" s="93">
        <v>5</v>
      </c>
      <c r="B395" s="103" t="s">
        <v>445</v>
      </c>
      <c r="C395" s="93" t="s">
        <v>22</v>
      </c>
      <c r="D395" s="66" t="s">
        <v>2928</v>
      </c>
      <c r="E395" s="146" t="s">
        <v>2929</v>
      </c>
      <c r="F395" s="43" t="s">
        <v>391</v>
      </c>
      <c r="G395" s="43" t="s">
        <v>2651</v>
      </c>
      <c r="H395" s="72" t="s">
        <v>2906</v>
      </c>
      <c r="I395" s="142" t="s">
        <v>2128</v>
      </c>
      <c r="J395" s="67">
        <v>2.875</v>
      </c>
      <c r="K395" s="70">
        <v>183.94</v>
      </c>
      <c r="L395" s="70" t="s">
        <v>2930</v>
      </c>
      <c r="M395" s="70" t="s">
        <v>2931</v>
      </c>
      <c r="N395" s="70"/>
      <c r="O395" s="93"/>
      <c r="P395" s="93"/>
      <c r="Q395" s="70">
        <v>173.81</v>
      </c>
      <c r="R395" s="70">
        <v>95.19</v>
      </c>
      <c r="S395" s="70"/>
      <c r="T395" s="142" t="s">
        <v>400</v>
      </c>
      <c r="U395" s="142"/>
    </row>
    <row r="396" spans="1:21" ht="105">
      <c r="A396" s="93">
        <v>6</v>
      </c>
      <c r="B396" s="103" t="s">
        <v>445</v>
      </c>
      <c r="C396" s="93" t="s">
        <v>22</v>
      </c>
      <c r="D396" s="66" t="s">
        <v>2932</v>
      </c>
      <c r="E396" s="146" t="s">
        <v>2933</v>
      </c>
      <c r="F396" s="43" t="s">
        <v>391</v>
      </c>
      <c r="G396" s="43" t="s">
        <v>2651</v>
      </c>
      <c r="H396" s="72" t="s">
        <v>2906</v>
      </c>
      <c r="I396" s="142" t="s">
        <v>2128</v>
      </c>
      <c r="J396" s="67">
        <v>6</v>
      </c>
      <c r="K396" s="70">
        <v>376.31</v>
      </c>
      <c r="L396" s="70" t="s">
        <v>1518</v>
      </c>
      <c r="M396" s="70" t="s">
        <v>1519</v>
      </c>
      <c r="N396" s="70"/>
      <c r="O396" s="93"/>
      <c r="P396" s="93"/>
      <c r="Q396" s="70">
        <v>347.65</v>
      </c>
      <c r="R396" s="70">
        <v>83.86</v>
      </c>
      <c r="S396" s="70"/>
      <c r="T396" s="142" t="s">
        <v>400</v>
      </c>
      <c r="U396" s="142"/>
    </row>
    <row r="397" spans="1:21" ht="66">
      <c r="A397" s="93">
        <v>11</v>
      </c>
      <c r="B397" s="103" t="s">
        <v>445</v>
      </c>
      <c r="C397" s="93" t="s">
        <v>22</v>
      </c>
      <c r="D397" s="66" t="s">
        <v>2934</v>
      </c>
      <c r="E397" s="146" t="s">
        <v>2935</v>
      </c>
      <c r="F397" s="43" t="s">
        <v>135</v>
      </c>
      <c r="G397" s="43" t="s">
        <v>2669</v>
      </c>
      <c r="H397" s="113" t="s">
        <v>2630</v>
      </c>
      <c r="I397" s="142" t="s">
        <v>2866</v>
      </c>
      <c r="J397" s="67">
        <v>9.3</v>
      </c>
      <c r="K397" s="142">
        <v>554.31</v>
      </c>
      <c r="L397" s="142" t="s">
        <v>1860</v>
      </c>
      <c r="M397" s="142" t="s">
        <v>1497</v>
      </c>
      <c r="N397" s="142"/>
      <c r="O397" s="93"/>
      <c r="P397" s="93"/>
      <c r="Q397" s="142">
        <v>548.83</v>
      </c>
      <c r="R397" s="142">
        <v>151.36</v>
      </c>
      <c r="S397" s="142">
        <v>4.5</v>
      </c>
      <c r="T397" s="142" t="s">
        <v>400</v>
      </c>
      <c r="U397" s="142"/>
    </row>
    <row r="398" spans="1:21" ht="66">
      <c r="A398" s="93">
        <v>12</v>
      </c>
      <c r="B398" s="103" t="s">
        <v>462</v>
      </c>
      <c r="C398" s="93" t="s">
        <v>22</v>
      </c>
      <c r="D398" s="124" t="s">
        <v>2936</v>
      </c>
      <c r="E398" s="146" t="s">
        <v>2627</v>
      </c>
      <c r="F398" s="43" t="s">
        <v>159</v>
      </c>
      <c r="G398" s="43" t="s">
        <v>2669</v>
      </c>
      <c r="H398" s="113" t="s">
        <v>2630</v>
      </c>
      <c r="I398" s="142" t="s">
        <v>2730</v>
      </c>
      <c r="J398" s="67">
        <v>9.75</v>
      </c>
      <c r="K398" s="142">
        <v>427.92</v>
      </c>
      <c r="L398" s="142" t="s">
        <v>1478</v>
      </c>
      <c r="M398" s="142" t="s">
        <v>1479</v>
      </c>
      <c r="N398" s="142"/>
      <c r="O398" s="93"/>
      <c r="P398" s="93"/>
      <c r="Q398" s="142">
        <v>455.2</v>
      </c>
      <c r="R398" s="142">
        <v>271.98</v>
      </c>
      <c r="S398" s="142"/>
      <c r="T398" s="142" t="s">
        <v>400</v>
      </c>
      <c r="U398" s="142" t="s">
        <v>451</v>
      </c>
    </row>
    <row r="399" spans="1:21" ht="92.25">
      <c r="A399" s="93">
        <v>13</v>
      </c>
      <c r="B399" s="103" t="s">
        <v>462</v>
      </c>
      <c r="C399" s="93" t="s">
        <v>22</v>
      </c>
      <c r="D399" s="124" t="s">
        <v>2937</v>
      </c>
      <c r="E399" s="146" t="s">
        <v>2712</v>
      </c>
      <c r="F399" s="43" t="s">
        <v>159</v>
      </c>
      <c r="G399" s="43" t="s">
        <v>2669</v>
      </c>
      <c r="H399" s="113" t="s">
        <v>2630</v>
      </c>
      <c r="I399" s="142" t="s">
        <v>2938</v>
      </c>
      <c r="J399" s="67">
        <v>4</v>
      </c>
      <c r="K399" s="70">
        <v>177.53</v>
      </c>
      <c r="L399" s="70" t="s">
        <v>1478</v>
      </c>
      <c r="M399" s="70" t="s">
        <v>1528</v>
      </c>
      <c r="N399" s="70"/>
      <c r="O399" s="93"/>
      <c r="P399" s="93"/>
      <c r="Q399" s="70">
        <v>194.77</v>
      </c>
      <c r="R399" s="70">
        <v>171.19</v>
      </c>
      <c r="S399" s="70">
        <v>4</v>
      </c>
      <c r="T399" s="142" t="s">
        <v>400</v>
      </c>
      <c r="U399" s="142" t="s">
        <v>451</v>
      </c>
    </row>
    <row r="400" spans="1:21" ht="78.75">
      <c r="A400" s="93">
        <v>9</v>
      </c>
      <c r="B400" s="103" t="s">
        <v>462</v>
      </c>
      <c r="C400" s="93" t="s">
        <v>22</v>
      </c>
      <c r="D400" s="66" t="s">
        <v>2939</v>
      </c>
      <c r="E400" s="146" t="s">
        <v>2673</v>
      </c>
      <c r="F400" s="43" t="s">
        <v>391</v>
      </c>
      <c r="G400" s="43" t="s">
        <v>2635</v>
      </c>
      <c r="H400" s="113" t="s">
        <v>2630</v>
      </c>
      <c r="I400" s="142" t="s">
        <v>2841</v>
      </c>
      <c r="J400" s="67">
        <v>5.8</v>
      </c>
      <c r="K400" s="70">
        <v>349.45</v>
      </c>
      <c r="L400" s="70" t="s">
        <v>1493</v>
      </c>
      <c r="M400" s="70" t="s">
        <v>1535</v>
      </c>
      <c r="N400" s="70"/>
      <c r="O400" s="93"/>
      <c r="P400" s="93"/>
      <c r="Q400" s="70">
        <v>349.39</v>
      </c>
      <c r="R400" s="70">
        <v>35.54</v>
      </c>
      <c r="S400" s="70"/>
      <c r="T400" s="142" t="s">
        <v>400</v>
      </c>
      <c r="U400" s="142"/>
    </row>
    <row r="401" spans="1:21" ht="92.25">
      <c r="A401" s="93">
        <v>16</v>
      </c>
      <c r="B401" s="103" t="s">
        <v>462</v>
      </c>
      <c r="C401" s="93" t="s">
        <v>22</v>
      </c>
      <c r="D401" s="124" t="s">
        <v>2940</v>
      </c>
      <c r="E401" s="146" t="s">
        <v>2787</v>
      </c>
      <c r="F401" s="43" t="s">
        <v>159</v>
      </c>
      <c r="G401" s="43" t="s">
        <v>2661</v>
      </c>
      <c r="H401" s="72" t="s">
        <v>2695</v>
      </c>
      <c r="I401" s="142" t="s">
        <v>2851</v>
      </c>
      <c r="J401" s="67">
        <v>9.125</v>
      </c>
      <c r="K401" s="70">
        <v>412.28</v>
      </c>
      <c r="L401" s="70" t="s">
        <v>661</v>
      </c>
      <c r="M401" s="70" t="s">
        <v>2941</v>
      </c>
      <c r="N401" s="70"/>
      <c r="O401" s="93"/>
      <c r="P401" s="93"/>
      <c r="Q401" s="70">
        <v>456.42</v>
      </c>
      <c r="R401" s="70">
        <v>212.15</v>
      </c>
      <c r="S401" s="70">
        <v>1</v>
      </c>
      <c r="T401" s="142" t="s">
        <v>400</v>
      </c>
      <c r="U401" s="142" t="s">
        <v>451</v>
      </c>
    </row>
    <row r="402" spans="1:21" ht="66">
      <c r="A402" s="93">
        <v>4</v>
      </c>
      <c r="B402" s="103" t="s">
        <v>462</v>
      </c>
      <c r="C402" s="93" t="s">
        <v>22</v>
      </c>
      <c r="D402" s="124" t="s">
        <v>2942</v>
      </c>
      <c r="E402" s="146" t="s">
        <v>2878</v>
      </c>
      <c r="F402" s="43" t="s">
        <v>159</v>
      </c>
      <c r="G402" s="43" t="s">
        <v>2632</v>
      </c>
      <c r="H402" s="72" t="s">
        <v>2617</v>
      </c>
      <c r="I402" s="142" t="s">
        <v>2943</v>
      </c>
      <c r="J402" s="67">
        <v>3.13</v>
      </c>
      <c r="K402" s="142">
        <v>124.09</v>
      </c>
      <c r="L402" s="142" t="s">
        <v>414</v>
      </c>
      <c r="M402" s="142" t="s">
        <v>1617</v>
      </c>
      <c r="N402" s="142"/>
      <c r="O402" s="93"/>
      <c r="P402" s="93"/>
      <c r="Q402" s="142">
        <v>119.87</v>
      </c>
      <c r="R402" s="142">
        <v>83.82</v>
      </c>
      <c r="S402" s="142">
        <v>3.13</v>
      </c>
      <c r="T402" s="142" t="s">
        <v>400</v>
      </c>
      <c r="U402" s="142" t="s">
        <v>451</v>
      </c>
    </row>
    <row r="403" spans="1:21" ht="78.75">
      <c r="A403" s="93">
        <v>5</v>
      </c>
      <c r="B403" s="103" t="s">
        <v>462</v>
      </c>
      <c r="C403" s="93" t="s">
        <v>22</v>
      </c>
      <c r="D403" s="66" t="s">
        <v>2944</v>
      </c>
      <c r="E403" s="146" t="s">
        <v>2945</v>
      </c>
      <c r="F403" s="43" t="s">
        <v>159</v>
      </c>
      <c r="G403" s="43" t="s">
        <v>2632</v>
      </c>
      <c r="H403" s="72" t="s">
        <v>2617</v>
      </c>
      <c r="I403" s="142" t="s">
        <v>2873</v>
      </c>
      <c r="J403" s="67">
        <v>1.41</v>
      </c>
      <c r="K403" s="70">
        <v>65.38</v>
      </c>
      <c r="L403" s="70" t="s">
        <v>1839</v>
      </c>
      <c r="M403" s="70" t="s">
        <v>2946</v>
      </c>
      <c r="N403" s="70"/>
      <c r="O403" s="93"/>
      <c r="P403" s="93"/>
      <c r="Q403" s="70">
        <v>68.59</v>
      </c>
      <c r="R403" s="70">
        <v>40.25</v>
      </c>
      <c r="S403" s="70">
        <v>1.41</v>
      </c>
      <c r="T403" s="142" t="s">
        <v>400</v>
      </c>
      <c r="U403" s="142" t="s">
        <v>451</v>
      </c>
    </row>
    <row r="404" spans="1:21" ht="96" customHeight="1">
      <c r="A404" s="93">
        <v>1</v>
      </c>
      <c r="B404" s="103" t="s">
        <v>244</v>
      </c>
      <c r="C404" s="93" t="s">
        <v>23</v>
      </c>
      <c r="D404" s="36" t="s">
        <v>3007</v>
      </c>
      <c r="E404" s="113" t="s">
        <v>3008</v>
      </c>
      <c r="F404" s="113" t="s">
        <v>175</v>
      </c>
      <c r="G404" s="53" t="s">
        <v>2990</v>
      </c>
      <c r="H404" s="104" t="s">
        <v>2993</v>
      </c>
      <c r="I404" s="107"/>
      <c r="J404" s="104" t="s">
        <v>141</v>
      </c>
      <c r="K404" s="104">
        <v>471.48</v>
      </c>
      <c r="L404" s="104" t="s">
        <v>3004</v>
      </c>
      <c r="M404" s="104" t="s">
        <v>3005</v>
      </c>
      <c r="N404" s="104"/>
      <c r="O404" s="104">
        <v>566.33</v>
      </c>
      <c r="P404" s="104"/>
      <c r="Q404" s="104">
        <f>SUM(O404:P404)</f>
        <v>566.33</v>
      </c>
      <c r="R404" s="109"/>
      <c r="S404" s="104" t="s">
        <v>141</v>
      </c>
      <c r="T404" s="106" t="s">
        <v>284</v>
      </c>
      <c r="U404" s="105" t="s">
        <v>261</v>
      </c>
    </row>
    <row r="405" spans="1:21" ht="82.5">
      <c r="A405" s="93">
        <v>1</v>
      </c>
      <c r="B405" s="103" t="s">
        <v>221</v>
      </c>
      <c r="C405" s="93" t="s">
        <v>24</v>
      </c>
      <c r="D405" s="36" t="s">
        <v>3076</v>
      </c>
      <c r="E405" s="113" t="s">
        <v>3021</v>
      </c>
      <c r="F405" s="103" t="s">
        <v>135</v>
      </c>
      <c r="G405" s="52" t="s">
        <v>3019</v>
      </c>
      <c r="H405" s="52" t="s">
        <v>24</v>
      </c>
      <c r="I405" s="103" t="s">
        <v>3072</v>
      </c>
      <c r="J405" s="104">
        <v>7.39</v>
      </c>
      <c r="K405" s="104">
        <v>161.88</v>
      </c>
      <c r="L405" s="104" t="s">
        <v>2291</v>
      </c>
      <c r="M405" s="104" t="s">
        <v>3075</v>
      </c>
      <c r="N405" s="104" t="s">
        <v>141</v>
      </c>
      <c r="O405" s="104">
        <v>158.93</v>
      </c>
      <c r="P405" s="104">
        <v>13.5</v>
      </c>
      <c r="Q405" s="104">
        <f>SUM(O405:P405)</f>
        <v>172.43</v>
      </c>
      <c r="R405" s="104">
        <f>104.98+18.66</f>
        <v>123.64</v>
      </c>
      <c r="S405" s="104">
        <v>7.19</v>
      </c>
      <c r="T405" s="105" t="s">
        <v>284</v>
      </c>
      <c r="U405" s="106" t="s">
        <v>143</v>
      </c>
    </row>
    <row r="406" spans="1:21" ht="82.5">
      <c r="A406" s="93">
        <v>2</v>
      </c>
      <c r="B406" s="103" t="s">
        <v>221</v>
      </c>
      <c r="C406" s="93" t="s">
        <v>24</v>
      </c>
      <c r="D406" s="36" t="s">
        <v>3077</v>
      </c>
      <c r="E406" s="113" t="s">
        <v>3025</v>
      </c>
      <c r="F406" s="104" t="s">
        <v>175</v>
      </c>
      <c r="G406" s="52" t="s">
        <v>3019</v>
      </c>
      <c r="H406" s="104" t="s">
        <v>3014</v>
      </c>
      <c r="I406" s="103" t="s">
        <v>3047</v>
      </c>
      <c r="J406" s="104" t="s">
        <v>141</v>
      </c>
      <c r="K406" s="104">
        <v>211.8</v>
      </c>
      <c r="L406" s="104" t="s">
        <v>1592</v>
      </c>
      <c r="M406" s="104" t="s">
        <v>3078</v>
      </c>
      <c r="N406" s="104" t="s">
        <v>141</v>
      </c>
      <c r="O406" s="104">
        <v>226.92</v>
      </c>
      <c r="P406" s="104">
        <v>12.92</v>
      </c>
      <c r="Q406" s="104">
        <f>SUM(O406:P406)</f>
        <v>239.83999999999997</v>
      </c>
      <c r="R406" s="104">
        <v>85.26</v>
      </c>
      <c r="S406" s="104" t="s">
        <v>141</v>
      </c>
      <c r="T406" s="105" t="s">
        <v>284</v>
      </c>
      <c r="U406" s="106" t="s">
        <v>143</v>
      </c>
    </row>
    <row r="407" spans="1:21" ht="69">
      <c r="A407" s="93">
        <v>1</v>
      </c>
      <c r="B407" s="103" t="s">
        <v>221</v>
      </c>
      <c r="C407" s="93" t="s">
        <v>24</v>
      </c>
      <c r="D407" s="36" t="s">
        <v>3079</v>
      </c>
      <c r="E407" s="113" t="s">
        <v>3080</v>
      </c>
      <c r="F407" s="103" t="s">
        <v>135</v>
      </c>
      <c r="G407" s="52" t="s">
        <v>3026</v>
      </c>
      <c r="H407" s="52" t="s">
        <v>24</v>
      </c>
      <c r="I407" s="103" t="s">
        <v>3081</v>
      </c>
      <c r="J407" s="104">
        <v>7.95</v>
      </c>
      <c r="K407" s="104">
        <v>182.37</v>
      </c>
      <c r="L407" s="104" t="s">
        <v>3082</v>
      </c>
      <c r="M407" s="104" t="s">
        <v>3083</v>
      </c>
      <c r="N407" s="104" t="s">
        <v>141</v>
      </c>
      <c r="O407" s="104">
        <v>127.85</v>
      </c>
      <c r="P407" s="104"/>
      <c r="Q407" s="104">
        <f>SUM(O407:P407)</f>
        <v>127.85</v>
      </c>
      <c r="R407" s="104">
        <v>110.79</v>
      </c>
      <c r="S407" s="104">
        <v>7.7</v>
      </c>
      <c r="T407" s="105" t="s">
        <v>284</v>
      </c>
      <c r="U407" s="106" t="s">
        <v>143</v>
      </c>
    </row>
    <row r="408" spans="1:21" ht="48">
      <c r="A408" s="93">
        <v>2</v>
      </c>
      <c r="B408" s="103" t="s">
        <v>244</v>
      </c>
      <c r="C408" s="93" t="s">
        <v>24</v>
      </c>
      <c r="D408" s="36" t="s">
        <v>3084</v>
      </c>
      <c r="E408" s="113" t="s">
        <v>3013</v>
      </c>
      <c r="F408" s="103" t="s">
        <v>135</v>
      </c>
      <c r="G408" s="53" t="s">
        <v>3026</v>
      </c>
      <c r="H408" s="53" t="s">
        <v>24</v>
      </c>
      <c r="I408" s="164" t="s">
        <v>3085</v>
      </c>
      <c r="J408" s="104">
        <v>6.96</v>
      </c>
      <c r="K408" s="104">
        <v>171.79</v>
      </c>
      <c r="L408" s="104" t="s">
        <v>3086</v>
      </c>
      <c r="M408" s="104" t="s">
        <v>3087</v>
      </c>
      <c r="N408" s="104"/>
      <c r="O408" s="115">
        <v>139.32</v>
      </c>
      <c r="P408" s="104">
        <v>13.73</v>
      </c>
      <c r="Q408" s="115">
        <f>SUM(O408:P408)</f>
        <v>153.04999999999998</v>
      </c>
      <c r="R408" s="104">
        <v>127.92</v>
      </c>
      <c r="S408" s="104">
        <v>6.76</v>
      </c>
      <c r="T408" s="106" t="s">
        <v>284</v>
      </c>
      <c r="U408" s="105" t="s">
        <v>143</v>
      </c>
    </row>
    <row r="409" spans="1:21" ht="78">
      <c r="A409" s="93">
        <v>1</v>
      </c>
      <c r="B409" s="103" t="s">
        <v>279</v>
      </c>
      <c r="C409" s="93" t="s">
        <v>24</v>
      </c>
      <c r="D409" s="37" t="s">
        <v>3092</v>
      </c>
      <c r="E409" s="113" t="s">
        <v>3025</v>
      </c>
      <c r="F409" s="103" t="s">
        <v>135</v>
      </c>
      <c r="G409" s="103" t="s">
        <v>3019</v>
      </c>
      <c r="H409" s="104" t="s">
        <v>3014</v>
      </c>
      <c r="I409" s="103"/>
      <c r="J409" s="116">
        <v>1.89</v>
      </c>
      <c r="K409" s="104">
        <v>53.97</v>
      </c>
      <c r="L409" s="103" t="s">
        <v>141</v>
      </c>
      <c r="M409" s="103" t="s">
        <v>141</v>
      </c>
      <c r="N409" s="103" t="s">
        <v>141</v>
      </c>
      <c r="O409" s="104"/>
      <c r="P409" s="104"/>
      <c r="Q409" s="104"/>
      <c r="R409" s="104">
        <v>2.32</v>
      </c>
      <c r="S409" s="104" t="s">
        <v>141</v>
      </c>
      <c r="T409" s="105" t="s">
        <v>3093</v>
      </c>
      <c r="U409" s="105" t="s">
        <v>1258</v>
      </c>
    </row>
    <row r="410" spans="1:21" ht="93">
      <c r="A410" s="93">
        <v>1</v>
      </c>
      <c r="B410" s="103" t="s">
        <v>279</v>
      </c>
      <c r="C410" s="93" t="s">
        <v>24</v>
      </c>
      <c r="D410" s="37" t="s">
        <v>3094</v>
      </c>
      <c r="E410" s="113" t="s">
        <v>3095</v>
      </c>
      <c r="F410" s="103" t="s">
        <v>135</v>
      </c>
      <c r="G410" s="103" t="s">
        <v>3014</v>
      </c>
      <c r="H410" s="104" t="s">
        <v>3014</v>
      </c>
      <c r="I410" s="103" t="s">
        <v>2755</v>
      </c>
      <c r="J410" s="116">
        <v>6.02</v>
      </c>
      <c r="K410" s="104">
        <v>149.05</v>
      </c>
      <c r="L410" s="103" t="s">
        <v>1180</v>
      </c>
      <c r="M410" s="103" t="s">
        <v>3096</v>
      </c>
      <c r="N410" s="103"/>
      <c r="O410" s="104">
        <v>135.82</v>
      </c>
      <c r="P410" s="104"/>
      <c r="Q410" s="104">
        <f>SUM(O410:P410)</f>
        <v>135.82</v>
      </c>
      <c r="R410" s="104">
        <v>70.75</v>
      </c>
      <c r="S410" s="104">
        <v>3.05</v>
      </c>
      <c r="T410" s="105" t="s">
        <v>284</v>
      </c>
      <c r="U410" s="105" t="s">
        <v>1258</v>
      </c>
    </row>
    <row r="411" spans="1:21" ht="62.25">
      <c r="A411" s="93">
        <v>3</v>
      </c>
      <c r="B411" s="103" t="s">
        <v>279</v>
      </c>
      <c r="C411" s="93" t="s">
        <v>24</v>
      </c>
      <c r="D411" s="37" t="s">
        <v>3097</v>
      </c>
      <c r="E411" s="113" t="s">
        <v>3098</v>
      </c>
      <c r="F411" s="103" t="s">
        <v>135</v>
      </c>
      <c r="G411" s="103" t="s">
        <v>3019</v>
      </c>
      <c r="H411" s="104" t="s">
        <v>3014</v>
      </c>
      <c r="I411" s="103" t="s">
        <v>319</v>
      </c>
      <c r="J411" s="116">
        <v>11.86</v>
      </c>
      <c r="K411" s="104">
        <v>356.91</v>
      </c>
      <c r="L411" s="103" t="s">
        <v>3099</v>
      </c>
      <c r="M411" s="103" t="s">
        <v>3100</v>
      </c>
      <c r="N411" s="103"/>
      <c r="O411" s="104">
        <v>207.6</v>
      </c>
      <c r="P411" s="104"/>
      <c r="Q411" s="104">
        <f>SUM(O411:P411)</f>
        <v>207.6</v>
      </c>
      <c r="R411" s="104">
        <f>48.2+24.73</f>
        <v>72.93</v>
      </c>
      <c r="S411" s="48">
        <v>7.3</v>
      </c>
      <c r="T411" s="105" t="s">
        <v>284</v>
      </c>
      <c r="U411" s="105" t="s">
        <v>143</v>
      </c>
    </row>
    <row r="412" spans="1:21" ht="46.5">
      <c r="A412" s="93">
        <v>2</v>
      </c>
      <c r="B412" s="103" t="s">
        <v>279</v>
      </c>
      <c r="C412" s="93" t="s">
        <v>24</v>
      </c>
      <c r="D412" s="37" t="s">
        <v>3101</v>
      </c>
      <c r="E412" s="113" t="s">
        <v>3102</v>
      </c>
      <c r="F412" s="103" t="s">
        <v>135</v>
      </c>
      <c r="G412" s="103" t="s">
        <v>3014</v>
      </c>
      <c r="H412" s="104" t="s">
        <v>3014</v>
      </c>
      <c r="I412" s="103" t="s">
        <v>3103</v>
      </c>
      <c r="J412" s="116">
        <v>11.79</v>
      </c>
      <c r="K412" s="104">
        <v>316.15</v>
      </c>
      <c r="L412" s="103" t="s">
        <v>3104</v>
      </c>
      <c r="M412" s="103" t="s">
        <v>3105</v>
      </c>
      <c r="N412" s="103"/>
      <c r="O412" s="104">
        <v>327.43</v>
      </c>
      <c r="P412" s="104"/>
      <c r="Q412" s="104">
        <f>SUM(O412:P412)</f>
        <v>327.43</v>
      </c>
      <c r="R412" s="104">
        <v>188.9</v>
      </c>
      <c r="S412" s="104">
        <v>11.7</v>
      </c>
      <c r="T412" s="105" t="s">
        <v>284</v>
      </c>
      <c r="U412" s="105" t="s">
        <v>143</v>
      </c>
    </row>
    <row r="413" spans="1:21" ht="46.5">
      <c r="A413" s="93">
        <v>4</v>
      </c>
      <c r="B413" s="103" t="s">
        <v>279</v>
      </c>
      <c r="C413" s="93" t="s">
        <v>24</v>
      </c>
      <c r="D413" s="37" t="s">
        <v>3106</v>
      </c>
      <c r="E413" s="113" t="s">
        <v>3107</v>
      </c>
      <c r="F413" s="103" t="s">
        <v>135</v>
      </c>
      <c r="G413" s="103" t="s">
        <v>3019</v>
      </c>
      <c r="H413" s="104" t="s">
        <v>3014</v>
      </c>
      <c r="I413" s="103" t="s">
        <v>2614</v>
      </c>
      <c r="J413" s="116">
        <v>11.7</v>
      </c>
      <c r="K413" s="104">
        <v>351.34</v>
      </c>
      <c r="L413" s="103" t="s">
        <v>3108</v>
      </c>
      <c r="M413" s="103" t="s">
        <v>3109</v>
      </c>
      <c r="N413" s="103"/>
      <c r="O413" s="104">
        <v>143.02</v>
      </c>
      <c r="P413" s="104"/>
      <c r="Q413" s="104">
        <f>SUM(O413:P413)</f>
        <v>143.02</v>
      </c>
      <c r="R413" s="104">
        <f>23.39+36.91</f>
        <v>60.3</v>
      </c>
      <c r="S413" s="104">
        <v>7.1</v>
      </c>
      <c r="T413" s="105" t="s">
        <v>284</v>
      </c>
      <c r="U413" s="105" t="s">
        <v>143</v>
      </c>
    </row>
    <row r="414" spans="1:21" ht="46.5">
      <c r="A414" s="93">
        <v>1</v>
      </c>
      <c r="B414" s="103" t="s">
        <v>279</v>
      </c>
      <c r="C414" s="93" t="s">
        <v>24</v>
      </c>
      <c r="D414" s="37" t="s">
        <v>3110</v>
      </c>
      <c r="E414" s="113" t="s">
        <v>3111</v>
      </c>
      <c r="F414" s="103" t="s">
        <v>135</v>
      </c>
      <c r="G414" s="103" t="s">
        <v>3019</v>
      </c>
      <c r="H414" s="104" t="s">
        <v>3014</v>
      </c>
      <c r="I414" s="103"/>
      <c r="J414" s="116">
        <v>7.54</v>
      </c>
      <c r="K414" s="104">
        <v>259.85</v>
      </c>
      <c r="L414" s="103"/>
      <c r="M414" s="103"/>
      <c r="N414" s="103"/>
      <c r="O414" s="104"/>
      <c r="P414" s="104"/>
      <c r="Q414" s="104"/>
      <c r="R414" s="104">
        <v>1.76</v>
      </c>
      <c r="S414" s="104"/>
      <c r="T414" s="105" t="s">
        <v>3112</v>
      </c>
      <c r="U414" s="105" t="s">
        <v>1269</v>
      </c>
    </row>
    <row r="415" spans="1:21" ht="46.5">
      <c r="A415" s="93">
        <v>3</v>
      </c>
      <c r="B415" s="103" t="s">
        <v>279</v>
      </c>
      <c r="C415" s="93" t="s">
        <v>24</v>
      </c>
      <c r="D415" s="37" t="s">
        <v>3121</v>
      </c>
      <c r="E415" s="113" t="s">
        <v>3122</v>
      </c>
      <c r="F415" s="103" t="s">
        <v>135</v>
      </c>
      <c r="G415" s="103" t="s">
        <v>3026</v>
      </c>
      <c r="H415" s="103" t="s">
        <v>24</v>
      </c>
      <c r="I415" s="103" t="s">
        <v>2653</v>
      </c>
      <c r="J415" s="116">
        <v>4.08</v>
      </c>
      <c r="K415" s="104">
        <v>122.22</v>
      </c>
      <c r="L415" s="103" t="s">
        <v>660</v>
      </c>
      <c r="M415" s="103" t="s">
        <v>685</v>
      </c>
      <c r="N415" s="103"/>
      <c r="O415" s="104">
        <v>97.81</v>
      </c>
      <c r="P415" s="104"/>
      <c r="Q415" s="104">
        <f>SUM(O415:P415)</f>
        <v>97.81</v>
      </c>
      <c r="R415" s="104">
        <v>74.36</v>
      </c>
      <c r="S415" s="104">
        <v>3.7</v>
      </c>
      <c r="T415" s="105" t="s">
        <v>284</v>
      </c>
      <c r="U415" s="105" t="s">
        <v>143</v>
      </c>
    </row>
    <row r="416" spans="1:21" ht="78">
      <c r="A416" s="93">
        <v>5</v>
      </c>
      <c r="B416" s="103" t="s">
        <v>279</v>
      </c>
      <c r="C416" s="93" t="s">
        <v>24</v>
      </c>
      <c r="D416" s="71" t="s">
        <v>3123</v>
      </c>
      <c r="E416" s="113" t="s">
        <v>3124</v>
      </c>
      <c r="F416" s="103" t="s">
        <v>135</v>
      </c>
      <c r="G416" s="103" t="s">
        <v>3019</v>
      </c>
      <c r="H416" s="103" t="s">
        <v>24</v>
      </c>
      <c r="I416" s="103"/>
      <c r="J416" s="116">
        <v>3.01</v>
      </c>
      <c r="K416" s="104">
        <v>97.97</v>
      </c>
      <c r="L416" s="103" t="s">
        <v>2133</v>
      </c>
      <c r="M416" s="103" t="s">
        <v>3125</v>
      </c>
      <c r="N416" s="103"/>
      <c r="O416" s="104"/>
      <c r="P416" s="104"/>
      <c r="Q416" s="104"/>
      <c r="R416" s="104">
        <v>0.12</v>
      </c>
      <c r="S416" s="104">
        <v>0.25</v>
      </c>
      <c r="T416" s="105" t="s">
        <v>284</v>
      </c>
      <c r="U416" s="105" t="s">
        <v>143</v>
      </c>
    </row>
    <row r="417" spans="1:21" ht="93">
      <c r="A417" s="93">
        <v>6</v>
      </c>
      <c r="B417" s="103" t="s">
        <v>279</v>
      </c>
      <c r="C417" s="93" t="s">
        <v>24</v>
      </c>
      <c r="D417" s="37" t="s">
        <v>3129</v>
      </c>
      <c r="E417" s="113" t="s">
        <v>3130</v>
      </c>
      <c r="F417" s="103" t="s">
        <v>135</v>
      </c>
      <c r="G417" s="103" t="s">
        <v>3019</v>
      </c>
      <c r="H417" s="103" t="s">
        <v>24</v>
      </c>
      <c r="I417" s="103" t="s">
        <v>1087</v>
      </c>
      <c r="J417" s="116">
        <v>8.1</v>
      </c>
      <c r="K417" s="104">
        <v>276.64</v>
      </c>
      <c r="L417" s="103" t="s">
        <v>316</v>
      </c>
      <c r="M417" s="103" t="s">
        <v>937</v>
      </c>
      <c r="N417" s="103"/>
      <c r="O417" s="104">
        <v>128.91</v>
      </c>
      <c r="P417" s="104"/>
      <c r="Q417" s="104">
        <f>SUM(O417:P417)</f>
        <v>128.91</v>
      </c>
      <c r="R417" s="104">
        <v>98.3</v>
      </c>
      <c r="S417" s="104">
        <v>4</v>
      </c>
      <c r="T417" s="105" t="s">
        <v>284</v>
      </c>
      <c r="U417" s="105" t="s">
        <v>143</v>
      </c>
    </row>
    <row r="418" spans="1:21" ht="46.5">
      <c r="A418" s="93">
        <v>1</v>
      </c>
      <c r="B418" s="103" t="s">
        <v>279</v>
      </c>
      <c r="C418" s="93" t="s">
        <v>24</v>
      </c>
      <c r="D418" s="37" t="s">
        <v>3136</v>
      </c>
      <c r="E418" s="113" t="s">
        <v>3137</v>
      </c>
      <c r="F418" s="103" t="s">
        <v>135</v>
      </c>
      <c r="G418" s="103" t="s">
        <v>3026</v>
      </c>
      <c r="H418" s="103" t="s">
        <v>24</v>
      </c>
      <c r="I418" s="103" t="s">
        <v>3138</v>
      </c>
      <c r="J418" s="116">
        <v>9.83</v>
      </c>
      <c r="K418" s="104">
        <v>298.56</v>
      </c>
      <c r="L418" s="103"/>
      <c r="M418" s="103"/>
      <c r="N418" s="103"/>
      <c r="O418" s="104">
        <v>295.29</v>
      </c>
      <c r="P418" s="104"/>
      <c r="Q418" s="104">
        <f>SUM(O418:P418)</f>
        <v>295.29</v>
      </c>
      <c r="R418" s="104">
        <v>8.39</v>
      </c>
      <c r="S418" s="104"/>
      <c r="T418" s="105" t="s">
        <v>3139</v>
      </c>
      <c r="U418" s="105" t="s">
        <v>143</v>
      </c>
    </row>
    <row r="419" spans="1:21" ht="46.5">
      <c r="A419" s="93">
        <v>4</v>
      </c>
      <c r="B419" s="103" t="s">
        <v>279</v>
      </c>
      <c r="C419" s="93" t="s">
        <v>24</v>
      </c>
      <c r="D419" s="37" t="s">
        <v>3140</v>
      </c>
      <c r="E419" s="113" t="s">
        <v>3141</v>
      </c>
      <c r="F419" s="103" t="s">
        <v>135</v>
      </c>
      <c r="G419" s="103" t="s">
        <v>3026</v>
      </c>
      <c r="H419" s="103" t="s">
        <v>24</v>
      </c>
      <c r="I419" s="103" t="s">
        <v>1087</v>
      </c>
      <c r="J419" s="104">
        <v>4.95</v>
      </c>
      <c r="K419" s="104">
        <v>168.33</v>
      </c>
      <c r="L419" s="103"/>
      <c r="M419" s="103"/>
      <c r="N419" s="103"/>
      <c r="O419" s="104">
        <v>144.69</v>
      </c>
      <c r="P419" s="104"/>
      <c r="Q419" s="104">
        <f>SUM(O419:P419)</f>
        <v>144.69</v>
      </c>
      <c r="R419" s="104">
        <v>84.56</v>
      </c>
      <c r="S419" s="104">
        <v>4</v>
      </c>
      <c r="T419" s="105" t="s">
        <v>284</v>
      </c>
      <c r="U419" s="105" t="s">
        <v>3115</v>
      </c>
    </row>
    <row r="420" spans="1:21" ht="78.75">
      <c r="A420" s="93">
        <v>3</v>
      </c>
      <c r="B420" s="103" t="s">
        <v>389</v>
      </c>
      <c r="C420" s="93" t="s">
        <v>24</v>
      </c>
      <c r="D420" s="156" t="s">
        <v>3144</v>
      </c>
      <c r="E420" s="128" t="s">
        <v>3016</v>
      </c>
      <c r="F420" s="128" t="s">
        <v>135</v>
      </c>
      <c r="G420" s="128" t="s">
        <v>3014</v>
      </c>
      <c r="H420" s="128" t="s">
        <v>3014</v>
      </c>
      <c r="I420" s="128" t="s">
        <v>1065</v>
      </c>
      <c r="J420" s="157">
        <v>20.27</v>
      </c>
      <c r="K420" s="128">
        <v>1036.25</v>
      </c>
      <c r="L420" s="158" t="s">
        <v>1041</v>
      </c>
      <c r="M420" s="158" t="s">
        <v>1058</v>
      </c>
      <c r="N420" s="166"/>
      <c r="O420" s="128">
        <v>1016.47</v>
      </c>
      <c r="P420" s="128"/>
      <c r="Q420" s="128">
        <v>1016.47</v>
      </c>
      <c r="R420" s="121">
        <f>414.05+119.75</f>
        <v>533.8</v>
      </c>
      <c r="S420" s="121">
        <v>14.2</v>
      </c>
      <c r="T420" s="122" t="s">
        <v>284</v>
      </c>
      <c r="U420" s="122" t="s">
        <v>143</v>
      </c>
    </row>
    <row r="421" spans="1:21" ht="78.75">
      <c r="A421" s="93">
        <v>7</v>
      </c>
      <c r="B421" s="103" t="s">
        <v>415</v>
      </c>
      <c r="C421" s="93" t="s">
        <v>24</v>
      </c>
      <c r="D421" s="64" t="s">
        <v>3145</v>
      </c>
      <c r="E421" s="146" t="s">
        <v>3013</v>
      </c>
      <c r="F421" s="146" t="s">
        <v>159</v>
      </c>
      <c r="G421" s="146" t="s">
        <v>3019</v>
      </c>
      <c r="H421" s="147" t="s">
        <v>24</v>
      </c>
      <c r="I421" s="147" t="s">
        <v>3146</v>
      </c>
      <c r="J421" s="131">
        <v>8.05</v>
      </c>
      <c r="K421" s="131">
        <v>340.59</v>
      </c>
      <c r="L421" s="63" t="s">
        <v>316</v>
      </c>
      <c r="M421" s="63" t="s">
        <v>3147</v>
      </c>
      <c r="N421" s="63"/>
      <c r="O421" s="93"/>
      <c r="P421" s="93"/>
      <c r="Q421" s="98">
        <v>350.55</v>
      </c>
      <c r="R421" s="98">
        <v>85.88</v>
      </c>
      <c r="S421" s="98">
        <v>1.5</v>
      </c>
      <c r="T421" s="63" t="s">
        <v>400</v>
      </c>
      <c r="U421" s="63" t="s">
        <v>141</v>
      </c>
    </row>
    <row r="422" spans="1:21" ht="92.25">
      <c r="A422" s="93">
        <v>8</v>
      </c>
      <c r="B422" s="103" t="s">
        <v>415</v>
      </c>
      <c r="C422" s="93" t="s">
        <v>24</v>
      </c>
      <c r="D422" s="64" t="s">
        <v>3148</v>
      </c>
      <c r="E422" s="146" t="s">
        <v>3016</v>
      </c>
      <c r="F422" s="146" t="s">
        <v>159</v>
      </c>
      <c r="G422" s="146" t="s">
        <v>3019</v>
      </c>
      <c r="H422" s="147" t="s">
        <v>3014</v>
      </c>
      <c r="I422" s="147"/>
      <c r="J422" s="131">
        <v>15.48</v>
      </c>
      <c r="K422" s="131">
        <v>518.23</v>
      </c>
      <c r="L422" s="63" t="s">
        <v>2080</v>
      </c>
      <c r="M422" s="63" t="s">
        <v>1150</v>
      </c>
      <c r="N422" s="63"/>
      <c r="O422" s="93"/>
      <c r="P422" s="93"/>
      <c r="Q422" s="98">
        <v>542.48</v>
      </c>
      <c r="R422" s="98">
        <v>10.31</v>
      </c>
      <c r="S422" s="98"/>
      <c r="T422" s="63" t="s">
        <v>400</v>
      </c>
      <c r="U422" s="63" t="s">
        <v>141</v>
      </c>
    </row>
    <row r="423" spans="1:21" ht="78.75">
      <c r="A423" s="93">
        <v>4</v>
      </c>
      <c r="B423" s="103" t="s">
        <v>415</v>
      </c>
      <c r="C423" s="93" t="s">
        <v>24</v>
      </c>
      <c r="D423" s="64" t="s">
        <v>3149</v>
      </c>
      <c r="E423" s="146" t="s">
        <v>3018</v>
      </c>
      <c r="F423" s="146" t="s">
        <v>159</v>
      </c>
      <c r="G423" s="146" t="s">
        <v>3014</v>
      </c>
      <c r="H423" s="147" t="s">
        <v>3014</v>
      </c>
      <c r="I423" s="147" t="s">
        <v>1472</v>
      </c>
      <c r="J423" s="131">
        <v>6.63</v>
      </c>
      <c r="K423" s="131">
        <v>217.03</v>
      </c>
      <c r="L423" s="63" t="s">
        <v>2143</v>
      </c>
      <c r="M423" s="63" t="s">
        <v>2911</v>
      </c>
      <c r="N423" s="63"/>
      <c r="O423" s="93"/>
      <c r="P423" s="93"/>
      <c r="Q423" s="98">
        <v>235.11</v>
      </c>
      <c r="R423" s="98">
        <v>36.83</v>
      </c>
      <c r="S423" s="98"/>
      <c r="T423" s="63" t="s">
        <v>400</v>
      </c>
      <c r="U423" s="63" t="s">
        <v>141</v>
      </c>
    </row>
    <row r="424" spans="1:21" ht="78.75">
      <c r="A424" s="93">
        <v>9</v>
      </c>
      <c r="B424" s="103" t="s">
        <v>415</v>
      </c>
      <c r="C424" s="93" t="s">
        <v>24</v>
      </c>
      <c r="D424" s="64" t="s">
        <v>3150</v>
      </c>
      <c r="E424" s="146" t="s">
        <v>3021</v>
      </c>
      <c r="F424" s="146" t="s">
        <v>159</v>
      </c>
      <c r="G424" s="146" t="s">
        <v>3019</v>
      </c>
      <c r="H424" s="147" t="s">
        <v>24</v>
      </c>
      <c r="I424" s="147" t="s">
        <v>3151</v>
      </c>
      <c r="J424" s="131">
        <v>18.53</v>
      </c>
      <c r="K424" s="131">
        <v>633.95</v>
      </c>
      <c r="L424" s="63" t="s">
        <v>2870</v>
      </c>
      <c r="M424" s="63" t="s">
        <v>3152</v>
      </c>
      <c r="N424" s="63"/>
      <c r="O424" s="93"/>
      <c r="P424" s="93"/>
      <c r="Q424" s="98">
        <v>539.72</v>
      </c>
      <c r="R424" s="98">
        <v>413.48</v>
      </c>
      <c r="S424" s="98">
        <v>16</v>
      </c>
      <c r="T424" s="63" t="s">
        <v>400</v>
      </c>
      <c r="U424" s="63" t="s">
        <v>141</v>
      </c>
    </row>
    <row r="425" spans="1:21" ht="92.25">
      <c r="A425" s="93">
        <v>5</v>
      </c>
      <c r="B425" s="103" t="s">
        <v>415</v>
      </c>
      <c r="C425" s="93" t="s">
        <v>24</v>
      </c>
      <c r="D425" s="64" t="s">
        <v>3155</v>
      </c>
      <c r="E425" s="146" t="s">
        <v>3080</v>
      </c>
      <c r="F425" s="146" t="s">
        <v>159</v>
      </c>
      <c r="G425" s="146" t="s">
        <v>3026</v>
      </c>
      <c r="H425" s="147" t="s">
        <v>24</v>
      </c>
      <c r="I425" s="147" t="s">
        <v>3156</v>
      </c>
      <c r="J425" s="131">
        <v>3.69</v>
      </c>
      <c r="K425" s="131">
        <v>132.33</v>
      </c>
      <c r="L425" s="63" t="s">
        <v>316</v>
      </c>
      <c r="M425" s="63" t="s">
        <v>937</v>
      </c>
      <c r="N425" s="63"/>
      <c r="O425" s="93"/>
      <c r="P425" s="93"/>
      <c r="Q425" s="98">
        <v>134.48</v>
      </c>
      <c r="R425" s="98">
        <v>38.13</v>
      </c>
      <c r="S425" s="98">
        <v>1.5</v>
      </c>
      <c r="T425" s="63" t="s">
        <v>400</v>
      </c>
      <c r="U425" s="63" t="s">
        <v>141</v>
      </c>
    </row>
    <row r="426" spans="1:21" ht="66">
      <c r="A426" s="93">
        <v>6</v>
      </c>
      <c r="B426" s="103" t="s">
        <v>415</v>
      </c>
      <c r="C426" s="93" t="s">
        <v>24</v>
      </c>
      <c r="D426" s="64" t="s">
        <v>3157</v>
      </c>
      <c r="E426" s="146" t="s">
        <v>3095</v>
      </c>
      <c r="F426" s="146" t="s">
        <v>159</v>
      </c>
      <c r="G426" s="146" t="s">
        <v>3026</v>
      </c>
      <c r="H426" s="147" t="s">
        <v>24</v>
      </c>
      <c r="I426" s="147" t="s">
        <v>3158</v>
      </c>
      <c r="J426" s="131">
        <v>6.48</v>
      </c>
      <c r="K426" s="131">
        <v>231.64</v>
      </c>
      <c r="L426" s="63" t="s">
        <v>3159</v>
      </c>
      <c r="M426" s="63" t="s">
        <v>3160</v>
      </c>
      <c r="N426" s="63"/>
      <c r="O426" s="93"/>
      <c r="P426" s="93"/>
      <c r="Q426" s="98">
        <v>226.96</v>
      </c>
      <c r="R426" s="98">
        <v>128.13</v>
      </c>
      <c r="S426" s="98">
        <v>4</v>
      </c>
      <c r="T426" s="63" t="s">
        <v>400</v>
      </c>
      <c r="U426" s="63" t="s">
        <v>141</v>
      </c>
    </row>
    <row r="427" spans="1:21" ht="78.75">
      <c r="A427" s="93">
        <v>2</v>
      </c>
      <c r="B427" s="103" t="s">
        <v>445</v>
      </c>
      <c r="C427" s="93" t="s">
        <v>24</v>
      </c>
      <c r="D427" s="66" t="s">
        <v>3161</v>
      </c>
      <c r="E427" s="43" t="s">
        <v>3102</v>
      </c>
      <c r="F427" s="43" t="s">
        <v>135</v>
      </c>
      <c r="G427" s="43" t="s">
        <v>3019</v>
      </c>
      <c r="H427" s="43" t="s">
        <v>3014</v>
      </c>
      <c r="I427" s="142" t="s">
        <v>3162</v>
      </c>
      <c r="J427" s="67">
        <v>10.375</v>
      </c>
      <c r="K427" s="142">
        <v>489.22</v>
      </c>
      <c r="L427" s="142"/>
      <c r="M427" s="142"/>
      <c r="N427" s="142"/>
      <c r="O427" s="93"/>
      <c r="P427" s="93"/>
      <c r="Q427" s="142">
        <v>444.96</v>
      </c>
      <c r="R427" s="142"/>
      <c r="S427" s="142"/>
      <c r="T427" s="142" t="s">
        <v>1510</v>
      </c>
      <c r="U427" s="142" t="s">
        <v>712</v>
      </c>
    </row>
    <row r="428" spans="1:21" ht="92.25">
      <c r="A428" s="93">
        <v>5</v>
      </c>
      <c r="B428" s="103" t="s">
        <v>445</v>
      </c>
      <c r="C428" s="93" t="s">
        <v>24</v>
      </c>
      <c r="D428" s="66" t="s">
        <v>3163</v>
      </c>
      <c r="E428" s="43" t="s">
        <v>3164</v>
      </c>
      <c r="F428" s="43" t="s">
        <v>138</v>
      </c>
      <c r="G428" s="43" t="s">
        <v>3014</v>
      </c>
      <c r="H428" s="43" t="s">
        <v>3014</v>
      </c>
      <c r="I428" s="142" t="s">
        <v>1138</v>
      </c>
      <c r="J428" s="67">
        <v>6.25</v>
      </c>
      <c r="K428" s="142">
        <v>222.79</v>
      </c>
      <c r="L428" s="142" t="s">
        <v>1478</v>
      </c>
      <c r="M428" s="142" t="s">
        <v>1528</v>
      </c>
      <c r="N428" s="142"/>
      <c r="O428" s="93"/>
      <c r="P428" s="93"/>
      <c r="Q428" s="142">
        <v>235.41</v>
      </c>
      <c r="R428" s="142">
        <v>41.72</v>
      </c>
      <c r="S428" s="142"/>
      <c r="T428" s="142" t="s">
        <v>400</v>
      </c>
      <c r="U428" s="142" t="s">
        <v>451</v>
      </c>
    </row>
    <row r="429" spans="1:21" ht="78.75">
      <c r="A429" s="93">
        <v>7</v>
      </c>
      <c r="B429" s="103" t="s">
        <v>445</v>
      </c>
      <c r="C429" s="93" t="s">
        <v>24</v>
      </c>
      <c r="D429" s="66" t="s">
        <v>3165</v>
      </c>
      <c r="E429" s="43" t="s">
        <v>3107</v>
      </c>
      <c r="F429" s="43" t="s">
        <v>138</v>
      </c>
      <c r="G429" s="43" t="s">
        <v>3026</v>
      </c>
      <c r="H429" s="43" t="s">
        <v>24</v>
      </c>
      <c r="I429" s="142" t="s">
        <v>3166</v>
      </c>
      <c r="J429" s="67">
        <v>16</v>
      </c>
      <c r="K429" s="142">
        <v>519.07</v>
      </c>
      <c r="L429" s="142" t="s">
        <v>1860</v>
      </c>
      <c r="M429" s="142" t="s">
        <v>1497</v>
      </c>
      <c r="N429" s="142"/>
      <c r="O429" s="93"/>
      <c r="P429" s="93"/>
      <c r="Q429" s="142">
        <v>576.68</v>
      </c>
      <c r="R429" s="142">
        <v>153.9</v>
      </c>
      <c r="S429" s="142">
        <v>4</v>
      </c>
      <c r="T429" s="142" t="s">
        <v>400</v>
      </c>
      <c r="U429" s="142" t="s">
        <v>451</v>
      </c>
    </row>
    <row r="431" spans="10:11" ht="12.75">
      <c r="J431" s="75"/>
      <c r="K431" s="76"/>
    </row>
    <row r="432" spans="10:11" ht="12.75">
      <c r="J432" s="76"/>
      <c r="K432" s="76"/>
    </row>
    <row r="433" spans="11:18" ht="12.75">
      <c r="K433" s="76"/>
      <c r="R433" s="76"/>
    </row>
    <row r="434" ht="12.75">
      <c r="K434" s="76"/>
    </row>
    <row r="435" spans="11:18" ht="12.75">
      <c r="K435" s="76"/>
      <c r="R435" s="76"/>
    </row>
    <row r="439" ht="12.75">
      <c r="K439" s="76"/>
    </row>
  </sheetData>
  <sheetProtection password="88D0" sheet="1" objects="1" scenarios="1"/>
  <mergeCells count="84">
    <mergeCell ref="R323:R324"/>
    <mergeCell ref="E323:E324"/>
    <mergeCell ref="I323:I324"/>
    <mergeCell ref="N323:N324"/>
    <mergeCell ref="O323:O324"/>
    <mergeCell ref="P323:P324"/>
    <mergeCell ref="Q323:Q324"/>
    <mergeCell ref="L307:L308"/>
    <mergeCell ref="M307:M308"/>
    <mergeCell ref="N307:N308"/>
    <mergeCell ref="Q307:Q308"/>
    <mergeCell ref="I282:I283"/>
    <mergeCell ref="A279:A280"/>
    <mergeCell ref="E279:E280"/>
    <mergeCell ref="F279:F280"/>
    <mergeCell ref="K279:K280"/>
    <mergeCell ref="U213:U215"/>
    <mergeCell ref="E222:E223"/>
    <mergeCell ref="I222:I223"/>
    <mergeCell ref="P279:P280"/>
    <mergeCell ref="Q279:Q280"/>
    <mergeCell ref="R279:R280"/>
    <mergeCell ref="T279:T280"/>
    <mergeCell ref="U279:U280"/>
    <mergeCell ref="I195:I201"/>
    <mergeCell ref="Q195:Q201"/>
    <mergeCell ref="L196:L202"/>
    <mergeCell ref="M196:M202"/>
    <mergeCell ref="N196:N202"/>
    <mergeCell ref="I202:I208"/>
    <mergeCell ref="Q202:Q208"/>
    <mergeCell ref="L203:L209"/>
    <mergeCell ref="M203:M209"/>
    <mergeCell ref="N203:N209"/>
    <mergeCell ref="R146:R147"/>
    <mergeCell ref="L99:L100"/>
    <mergeCell ref="M99:M100"/>
    <mergeCell ref="N99:N100"/>
    <mergeCell ref="E103:E105"/>
    <mergeCell ref="I103:I105"/>
    <mergeCell ref="L103:L105"/>
    <mergeCell ref="M103:M105"/>
    <mergeCell ref="N103:N105"/>
    <mergeCell ref="E146:E147"/>
    <mergeCell ref="I146:I147"/>
    <mergeCell ref="L146:L147"/>
    <mergeCell ref="M146:M147"/>
    <mergeCell ref="Q146:Q147"/>
    <mergeCell ref="E95:E96"/>
    <mergeCell ref="I95:I96"/>
    <mergeCell ref="L95:L96"/>
    <mergeCell ref="M95:M96"/>
    <mergeCell ref="N95:N96"/>
    <mergeCell ref="I97:I98"/>
    <mergeCell ref="L97:L98"/>
    <mergeCell ref="M97:M98"/>
    <mergeCell ref="N97:N98"/>
    <mergeCell ref="Q55:Q58"/>
    <mergeCell ref="R55:R58"/>
    <mergeCell ref="I86:I87"/>
    <mergeCell ref="I37:I38"/>
    <mergeCell ref="L37:L38"/>
    <mergeCell ref="M37:M38"/>
    <mergeCell ref="Q22:Q23"/>
    <mergeCell ref="R3:R4"/>
    <mergeCell ref="S3:S4"/>
    <mergeCell ref="T3:T4"/>
    <mergeCell ref="U3:U4"/>
    <mergeCell ref="O3:Q3"/>
    <mergeCell ref="A1:U1"/>
    <mergeCell ref="A2:C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M3"/>
    <mergeCell ref="N3:N4"/>
  </mergeCells>
  <hyperlinks>
    <hyperlink ref="O3" r:id="rId1" display="vuqcU/k@vokMZ dh /kujkf'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URRDA</dc:creator>
  <cp:keywords/>
  <dc:description/>
  <cp:lastModifiedBy>ankit</cp:lastModifiedBy>
  <cp:lastPrinted>2015-11-02T05:15:40Z</cp:lastPrinted>
  <dcterms:created xsi:type="dcterms:W3CDTF">2015-10-31T05:15:58Z</dcterms:created>
  <dcterms:modified xsi:type="dcterms:W3CDTF">2015-11-23T06:02:57Z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